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harts/chart2.xml" ContentType="application/vnd.openxmlformats-officedocument.drawingml.chart+xml"/>
  <Override PartName="/xl/tables/table1.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G:\Allgemein\Webseite\Dokumente\"/>
    </mc:Choice>
  </mc:AlternateContent>
  <xr:revisionPtr revIDLastSave="0" documentId="8_{63F5D97E-1C1B-4CF5-8A55-5C7EEFF45391}" xr6:coauthVersionLast="47" xr6:coauthVersionMax="47" xr10:uidLastSave="{00000000-0000-0000-0000-000000000000}"/>
  <workbookProtection workbookAlgorithmName="SHA-512" workbookHashValue="heB6LOSTJXjGNW9wlVlQfYtlO6i7/LY31abt8A/Ywd2GSujsgelqCHUwBQU5PGo8o4UrB/tx0ozloWZsvQBF9g==" workbookSaltValue="GREwEnGx8uHdNbP380RPBw==" workbookSpinCount="100000" lockStructure="1"/>
  <bookViews>
    <workbookView xWindow="-120" yWindow="-120" windowWidth="38640" windowHeight="21120" tabRatio="966" activeTab="3" xr2:uid="{69C6370C-772F-44DE-A958-970149C9DEC2}"/>
  </bookViews>
  <sheets>
    <sheet name="Anwendung" sheetId="8" r:id="rId1"/>
    <sheet name="EinleitungInGewaesser" sheetId="9" r:id="rId2"/>
    <sheet name="Retentionsanlage" sheetId="6" r:id="rId3"/>
    <sheet name="Versickerungsanlage" sheetId="11" r:id="rId4"/>
    <sheet name="Abflussbeiwerte" sheetId="14" state="hidden" r:id="rId5"/>
    <sheet name="Berechnung_Einleitung" sheetId="12" state="hidden" r:id="rId6"/>
    <sheet name="Berechnung_Retention" sheetId="7" state="hidden" r:id="rId7"/>
    <sheet name="Berechnung_Versickerung" sheetId="10" state="hidden" r:id="rId8"/>
    <sheet name="Regen" sheetId="4" state="hidden" r:id="rId9"/>
    <sheet name="Auswahlliste" sheetId="5" state="hidden" r:id="rId10"/>
  </sheets>
  <externalReferences>
    <externalReference r:id="rId11"/>
  </externalReferences>
  <definedNames>
    <definedName name="_xlnm._FilterDatabase" localSheetId="4" hidden="1">Abflussbeiwerte!$A$1:$E$779</definedName>
    <definedName name="_xlnm.Print_Area" localSheetId="0">Anwendung!$A$1:$C$63</definedName>
    <definedName name="_xlnm.Print_Area" localSheetId="1">EinleitungInGewaesser!$A$1:$O$91</definedName>
    <definedName name="_xlnm.Print_Area" localSheetId="2">Retentionsanlage!$A$2:$O$77</definedName>
    <definedName name="_xlnm.Print_Area" localSheetId="3">Versickerungsanlage!$A$1:$O$78</definedName>
    <definedName name="Wappen_Ret" localSheetId="5">INDEX(Berechnung_Einleitung!#REF!,MATCH([1]Retentionsanlage!$C$6,Berechnung_Einleitung!#REF!,0))</definedName>
    <definedName name="Wappen_Ret" localSheetId="6">INDEX(Berechnung_Retention!#REF!,MATCH([1]Retentionsanlage!$C$6,Berechnung_Retention!#REF!,0))</definedName>
    <definedName name="Wappen_Ret" localSheetId="7">INDEX(Berechnung_Versickerung!#REF!,MATCH([1]Retentionsanlage!$C$6,Berechnung_Versickerung!#REF!,0))</definedName>
    <definedName name="Wappen_Ret" localSheetId="1">INDEX(Berechnung_Retention!#REF!,MATCH(EinleitungInGewaesser!$C$4,Berechnung_Retention!#REF!,0))</definedName>
    <definedName name="Wappen_Ret" localSheetId="3">INDEX(Berechnung_Retention!#REF!,MATCH(Versickerungsanlage!$C$4,Berechnung_Retention!#REF!,0))</definedName>
    <definedName name="Wappen_Ret">INDEX(Berechnung_Retention!#REF!,MATCH(Retentionsanlage!$C$4,Berechnung_Retention!#REF!,0))</definedName>
    <definedName name="Wappen_VS">INDEX([1]Berechnung_Versickerung!$J$277:$J$294,MATCH([1]Versickerungsanlage!$C$6,[1]Berechnung_Versickerung!$I$277:$I$294,0))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04" i="14" l="1"/>
  <c r="B813" i="14"/>
  <c r="B812" i="14"/>
  <c r="B811" i="14"/>
  <c r="B810" i="14"/>
  <c r="B809" i="14"/>
  <c r="B808" i="14"/>
  <c r="B807" i="14"/>
  <c r="B806" i="14"/>
  <c r="B805" i="14"/>
  <c r="C57" i="9"/>
  <c r="H59" i="9"/>
  <c r="B347" i="14"/>
  <c r="K49" i="11"/>
  <c r="K49" i="9"/>
  <c r="K49" i="6"/>
  <c r="B803" i="14"/>
  <c r="B802" i="14"/>
  <c r="B801" i="14"/>
  <c r="B800" i="14"/>
  <c r="B799" i="14"/>
  <c r="B798" i="14"/>
  <c r="B797" i="14"/>
  <c r="B796" i="14"/>
  <c r="B795" i="14"/>
  <c r="B577" i="14"/>
  <c r="B593" i="14"/>
  <c r="B609" i="14"/>
  <c r="B610" i="14"/>
  <c r="B611" i="14"/>
  <c r="B612" i="14"/>
  <c r="B613" i="14"/>
  <c r="B614" i="14"/>
  <c r="B615" i="14"/>
  <c r="B616" i="14"/>
  <c r="B617" i="14"/>
  <c r="B618" i="14"/>
  <c r="B619" i="14"/>
  <c r="B608" i="14"/>
  <c r="G5" i="11"/>
  <c r="G5" i="6"/>
  <c r="P2" i="12"/>
  <c r="G5" i="9"/>
  <c r="B355" i="14"/>
  <c r="B298" i="14"/>
  <c r="B242" i="14"/>
  <c r="B243" i="14"/>
  <c r="B244" i="14"/>
  <c r="B245" i="14"/>
  <c r="B246" i="14"/>
  <c r="B247" i="14"/>
  <c r="B248" i="14"/>
  <c r="B249" i="14"/>
  <c r="B250" i="14"/>
  <c r="B251" i="14"/>
  <c r="B252" i="14"/>
  <c r="B253" i="14"/>
  <c r="B254" i="14"/>
  <c r="B255" i="14"/>
  <c r="B256" i="14"/>
  <c r="B257"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557" i="14"/>
  <c r="B558" i="14"/>
  <c r="B559" i="14"/>
  <c r="B560" i="14"/>
  <c r="B561" i="14"/>
  <c r="B562" i="14"/>
  <c r="B563" i="14"/>
  <c r="B564" i="14"/>
  <c r="B565" i="14"/>
  <c r="B566" i="14"/>
  <c r="B567" i="14"/>
  <c r="B568" i="14"/>
  <c r="B569" i="14"/>
  <c r="B570" i="14"/>
  <c r="B571" i="14"/>
  <c r="B572" i="14"/>
  <c r="B573" i="14"/>
  <c r="B574" i="14"/>
  <c r="B575" i="14"/>
  <c r="B576" i="14"/>
  <c r="B176" i="14"/>
  <c r="B177" i="14"/>
  <c r="B178" i="14"/>
  <c r="B179" i="14"/>
  <c r="B180" i="14"/>
  <c r="B181" i="14"/>
  <c r="B182" i="14"/>
  <c r="B183" i="14"/>
  <c r="B184" i="14"/>
  <c r="B185" i="14"/>
  <c r="B186" i="14"/>
  <c r="B187" i="14"/>
  <c r="B188" i="14"/>
  <c r="B644" i="14"/>
  <c r="B645" i="14"/>
  <c r="B646" i="14"/>
  <c r="B647" i="14"/>
  <c r="B648" i="14"/>
  <c r="B649" i="14"/>
  <c r="B650" i="14"/>
  <c r="B651" i="14"/>
  <c r="B652" i="14"/>
  <c r="B653" i="14"/>
  <c r="B654" i="14"/>
  <c r="B655" i="14"/>
  <c r="B656" i="14"/>
  <c r="B657" i="14"/>
  <c r="B397" i="14"/>
  <c r="B398" i="14"/>
  <c r="B399" i="14"/>
  <c r="B400" i="14"/>
  <c r="B401" i="14"/>
  <c r="B402" i="14"/>
  <c r="B403" i="14"/>
  <c r="B404" i="14"/>
  <c r="B405" i="14"/>
  <c r="B406" i="14"/>
  <c r="B407" i="14"/>
  <c r="B408" i="14"/>
  <c r="B409" i="14"/>
  <c r="B311" i="14"/>
  <c r="B312" i="14"/>
  <c r="B313" i="14"/>
  <c r="B314" i="14"/>
  <c r="B315" i="14"/>
  <c r="B316" i="14"/>
  <c r="B317" i="14"/>
  <c r="B318" i="14"/>
  <c r="B41" i="14"/>
  <c r="B42" i="14"/>
  <c r="B43" i="14"/>
  <c r="B44" i="14"/>
  <c r="B45" i="14"/>
  <c r="B46" i="14"/>
  <c r="B47" i="14"/>
  <c r="B48" i="14"/>
  <c r="B49" i="14"/>
  <c r="B50" i="14"/>
  <c r="B51" i="14"/>
  <c r="B52" i="14"/>
  <c r="B53" i="14"/>
  <c r="B54" i="14"/>
  <c r="B55" i="14"/>
  <c r="B56" i="14"/>
  <c r="B57" i="14"/>
  <c r="B58" i="14"/>
  <c r="B59" i="14"/>
  <c r="B60" i="14"/>
  <c r="B190" i="14"/>
  <c r="B191" i="14"/>
  <c r="B192" i="14"/>
  <c r="B193" i="14"/>
  <c r="B194" i="14"/>
  <c r="B195" i="14"/>
  <c r="B196" i="14"/>
  <c r="B197" i="14"/>
  <c r="B198" i="14"/>
  <c r="B199" i="14"/>
  <c r="B200" i="14"/>
  <c r="B201" i="14"/>
  <c r="B202" i="14"/>
  <c r="B203" i="14"/>
  <c r="B144" i="14"/>
  <c r="B145" i="14"/>
  <c r="B146" i="14"/>
  <c r="B147" i="14"/>
  <c r="B148" i="14"/>
  <c r="B149" i="14"/>
  <c r="B150" i="14"/>
  <c r="B151" i="14"/>
  <c r="B152" i="14"/>
  <c r="B153" i="14"/>
  <c r="B154" i="14"/>
  <c r="B155" i="14"/>
  <c r="B658" i="14"/>
  <c r="B659" i="14"/>
  <c r="B660" i="14"/>
  <c r="B661" i="14"/>
  <c r="B662" i="14"/>
  <c r="B663" i="14"/>
  <c r="B664" i="14"/>
  <c r="B701" i="14"/>
  <c r="B702" i="14"/>
  <c r="B703" i="14"/>
  <c r="B704" i="14"/>
  <c r="B705" i="14"/>
  <c r="B706" i="14"/>
  <c r="B707" i="14"/>
  <c r="B708" i="14"/>
  <c r="B709" i="14"/>
  <c r="B710" i="14"/>
  <c r="B711" i="14"/>
  <c r="B712" i="14"/>
  <c r="B713" i="14"/>
  <c r="B714" i="14"/>
  <c r="B715" i="14"/>
  <c r="B716" i="14"/>
  <c r="B717" i="14"/>
  <c r="B718" i="14"/>
  <c r="B620" i="14"/>
  <c r="B621" i="14"/>
  <c r="B622" i="14"/>
  <c r="B623" i="14"/>
  <c r="B624" i="14"/>
  <c r="B625" i="14"/>
  <c r="B626" i="14"/>
  <c r="B627" i="14"/>
  <c r="B628" i="14"/>
  <c r="B629" i="14"/>
  <c r="B630" i="14"/>
  <c r="B91" i="14"/>
  <c r="B92" i="14"/>
  <c r="B93" i="14"/>
  <c r="B94" i="14"/>
  <c r="B95" i="14"/>
  <c r="B96" i="14"/>
  <c r="B97" i="14"/>
  <c r="B98" i="14"/>
  <c r="B99" i="14"/>
  <c r="B100" i="14"/>
  <c r="B124" i="14"/>
  <c r="B125" i="14"/>
  <c r="B126" i="14"/>
  <c r="B127" i="14"/>
  <c r="B128" i="14"/>
  <c r="B129" i="14"/>
  <c r="B130" i="14"/>
  <c r="B131" i="14"/>
  <c r="B132" i="14"/>
  <c r="B133" i="14"/>
  <c r="B134" i="14"/>
  <c r="B135" i="14"/>
  <c r="B136" i="14"/>
  <c r="B137" i="14"/>
  <c r="B138" i="14"/>
  <c r="B139" i="14"/>
  <c r="B140" i="14"/>
  <c r="B141" i="14"/>
  <c r="B142" i="14"/>
  <c r="B330" i="14"/>
  <c r="B331" i="14"/>
  <c r="B332" i="14"/>
  <c r="B333" i="14"/>
  <c r="B334" i="14"/>
  <c r="B335" i="14"/>
  <c r="B336" i="14"/>
  <c r="B337" i="14"/>
  <c r="B338" i="14"/>
  <c r="B530" i="14"/>
  <c r="B531" i="14"/>
  <c r="B532" i="14"/>
  <c r="B533" i="14"/>
  <c r="B534" i="14"/>
  <c r="B535" i="14"/>
  <c r="B536" i="14"/>
  <c r="B537" i="14"/>
  <c r="B538" i="14"/>
  <c r="B64" i="14"/>
  <c r="B65" i="14"/>
  <c r="B66" i="14"/>
  <c r="B67" i="14"/>
  <c r="B68" i="14"/>
  <c r="B69" i="14"/>
  <c r="B70" i="14"/>
  <c r="B71" i="14"/>
  <c r="B72" i="14"/>
  <c r="B73" i="14"/>
  <c r="B74" i="14"/>
  <c r="B75" i="14"/>
  <c r="B76" i="14"/>
  <c r="B77" i="14"/>
  <c r="B78" i="14"/>
  <c r="B79" i="14"/>
  <c r="B80" i="14"/>
  <c r="B81" i="14"/>
  <c r="B82" i="14"/>
  <c r="B484" i="14"/>
  <c r="B485" i="14"/>
  <c r="B486" i="14"/>
  <c r="B487" i="14"/>
  <c r="B488" i="14"/>
  <c r="B489" i="14"/>
  <c r="B490" i="14"/>
  <c r="B491" i="14"/>
  <c r="B492" i="14"/>
  <c r="B493" i="14"/>
  <c r="B494" i="14"/>
  <c r="B495" i="14"/>
  <c r="B578" i="14"/>
  <c r="B579" i="14"/>
  <c r="B580" i="14"/>
  <c r="B581" i="14"/>
  <c r="B582" i="14"/>
  <c r="B583" i="14"/>
  <c r="B584" i="14"/>
  <c r="B585" i="14"/>
  <c r="B586" i="14"/>
  <c r="B587" i="14"/>
  <c r="B588" i="14"/>
  <c r="B589" i="14"/>
  <c r="B590" i="14"/>
  <c r="B591" i="14"/>
  <c r="B592" i="14"/>
  <c r="B594" i="14"/>
  <c r="B595" i="14"/>
  <c r="B596" i="14"/>
  <c r="B597" i="14"/>
  <c r="B598" i="14"/>
  <c r="B599" i="14"/>
  <c r="B600" i="14"/>
  <c r="B601" i="14"/>
  <c r="B602" i="14"/>
  <c r="B603" i="14"/>
  <c r="B604" i="14"/>
  <c r="B605" i="14"/>
  <c r="B606" i="14"/>
  <c r="B607" i="14"/>
  <c r="B299" i="14"/>
  <c r="B300" i="14"/>
  <c r="B301" i="14"/>
  <c r="B302" i="14"/>
  <c r="B303" i="14"/>
  <c r="B304" i="14"/>
  <c r="B305" i="14"/>
  <c r="B306" i="14"/>
  <c r="B307" i="14"/>
  <c r="B308" i="14"/>
  <c r="B309" i="14"/>
  <c r="B310" i="14"/>
  <c r="B519" i="14"/>
  <c r="B520" i="14"/>
  <c r="B521" i="14"/>
  <c r="B522" i="14"/>
  <c r="B523" i="14"/>
  <c r="B524" i="14"/>
  <c r="B525" i="14"/>
  <c r="B526" i="14"/>
  <c r="B527" i="14"/>
  <c r="B528" i="14"/>
  <c r="B529" i="14"/>
  <c r="B25" i="14"/>
  <c r="B26" i="14"/>
  <c r="B27" i="14"/>
  <c r="B28" i="14"/>
  <c r="B29" i="14"/>
  <c r="B30" i="14"/>
  <c r="B31" i="14"/>
  <c r="B32" i="14"/>
  <c r="B33" i="14"/>
  <c r="B34" i="14"/>
  <c r="B35" i="14"/>
  <c r="B36" i="14"/>
  <c r="B37" i="14"/>
  <c r="B38" i="14"/>
  <c r="B39" i="14"/>
  <c r="B40" i="14"/>
  <c r="B727" i="14"/>
  <c r="B728" i="14"/>
  <c r="B729" i="14"/>
  <c r="B730" i="14"/>
  <c r="B731" i="14"/>
  <c r="B732" i="14"/>
  <c r="B733" i="14"/>
  <c r="B734" i="14"/>
  <c r="B735" i="14"/>
  <c r="B736" i="14"/>
  <c r="B737" i="14"/>
  <c r="B738" i="14"/>
  <c r="B739" i="14"/>
  <c r="B740" i="14"/>
  <c r="B741" i="14"/>
  <c r="B742" i="14"/>
  <c r="B356" i="14"/>
  <c r="B357" i="14"/>
  <c r="B358" i="14"/>
  <c r="B359" i="14"/>
  <c r="B360" i="14"/>
  <c r="B361" i="14"/>
  <c r="B362" i="14"/>
  <c r="B363" i="14"/>
  <c r="B282" i="14"/>
  <c r="B283" i="14"/>
  <c r="B284" i="14"/>
  <c r="B285" i="14"/>
  <c r="B286" i="14"/>
  <c r="B287" i="14"/>
  <c r="B288" i="14"/>
  <c r="B289" i="14"/>
  <c r="B290" i="14"/>
  <c r="B291" i="14"/>
  <c r="B292" i="14"/>
  <c r="B293" i="14"/>
  <c r="B294" i="14"/>
  <c r="B295" i="14"/>
  <c r="B296" i="14"/>
  <c r="B297" i="14"/>
  <c r="B761" i="14"/>
  <c r="B762" i="14"/>
  <c r="B763" i="14"/>
  <c r="B764" i="14"/>
  <c r="B765" i="14"/>
  <c r="B766" i="14"/>
  <c r="B767" i="14"/>
  <c r="B768" i="14"/>
  <c r="B769" i="14"/>
  <c r="B770" i="14"/>
  <c r="B771" i="14"/>
  <c r="B751" i="14"/>
  <c r="B752" i="14"/>
  <c r="B753" i="14"/>
  <c r="B754" i="14"/>
  <c r="B755" i="14"/>
  <c r="B756" i="14"/>
  <c r="B757" i="14"/>
  <c r="B758" i="14"/>
  <c r="B759" i="14"/>
  <c r="B760" i="14"/>
  <c r="B631" i="14"/>
  <c r="B632" i="14"/>
  <c r="B633" i="14"/>
  <c r="B634" i="14"/>
  <c r="B635" i="14"/>
  <c r="B636" i="14"/>
  <c r="B637" i="14"/>
  <c r="B638" i="14"/>
  <c r="B639" i="14"/>
  <c r="B640" i="14"/>
  <c r="B641" i="14"/>
  <c r="B642" i="14"/>
  <c r="B643" i="14"/>
  <c r="B319" i="14"/>
  <c r="B320" i="14"/>
  <c r="B321" i="14"/>
  <c r="B322" i="14"/>
  <c r="B323" i="14"/>
  <c r="B324" i="14"/>
  <c r="B325" i="14"/>
  <c r="B326" i="14"/>
  <c r="B327" i="14"/>
  <c r="B328" i="14"/>
  <c r="B329" i="14"/>
  <c r="B472" i="14"/>
  <c r="B473" i="14"/>
  <c r="B474" i="14"/>
  <c r="B475" i="14"/>
  <c r="B476" i="14"/>
  <c r="B477" i="14"/>
  <c r="B478" i="14"/>
  <c r="B479" i="14"/>
  <c r="B480" i="14"/>
  <c r="B481" i="14"/>
  <c r="B482" i="14"/>
  <c r="B483" i="14"/>
  <c r="B784" i="14"/>
  <c r="B785" i="14"/>
  <c r="B786" i="14"/>
  <c r="B787" i="14"/>
  <c r="B788" i="14"/>
  <c r="B789" i="14"/>
  <c r="B790" i="14"/>
  <c r="B791" i="14"/>
  <c r="B792" i="14"/>
  <c r="B793" i="14"/>
  <c r="B794" i="14"/>
  <c r="B156" i="14"/>
  <c r="B157" i="14"/>
  <c r="B158" i="14"/>
  <c r="B159" i="14"/>
  <c r="B160" i="14"/>
  <c r="B161" i="14"/>
  <c r="B162" i="14"/>
  <c r="B163" i="14"/>
  <c r="B164" i="14"/>
  <c r="B165" i="14"/>
  <c r="B166" i="14"/>
  <c r="B167" i="14"/>
  <c r="B189" i="14"/>
  <c r="B143" i="14"/>
  <c r="B743" i="14"/>
  <c r="B744" i="14"/>
  <c r="B745" i="14"/>
  <c r="B746" i="14"/>
  <c r="B747" i="14"/>
  <c r="B748" i="14"/>
  <c r="B749" i="14"/>
  <c r="B750"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10" i="14"/>
  <c r="B411" i="14"/>
  <c r="B412" i="14"/>
  <c r="B413" i="14"/>
  <c r="B414" i="14"/>
  <c r="B415" i="14"/>
  <c r="B416" i="14"/>
  <c r="B417" i="14"/>
  <c r="B418" i="14"/>
  <c r="B419" i="14"/>
  <c r="B420" i="14"/>
  <c r="B421" i="14"/>
  <c r="B422" i="14"/>
  <c r="B423" i="14"/>
  <c r="B424" i="14"/>
  <c r="B425" i="14"/>
  <c r="B426" i="14"/>
  <c r="B204" i="14"/>
  <c r="B205" i="14"/>
  <c r="B206" i="14"/>
  <c r="B207" i="14"/>
  <c r="B208" i="14"/>
  <c r="B209" i="14"/>
  <c r="B210" i="14"/>
  <c r="B211" i="14"/>
  <c r="B212" i="14"/>
  <c r="B213" i="14"/>
  <c r="B214" i="14"/>
  <c r="B549" i="14"/>
  <c r="B550" i="14"/>
  <c r="B551" i="14"/>
  <c r="B552" i="14"/>
  <c r="B553" i="14"/>
  <c r="B554" i="14"/>
  <c r="B555" i="14"/>
  <c r="B556" i="14"/>
  <c r="B380" i="14"/>
  <c r="B381" i="14"/>
  <c r="B382" i="14"/>
  <c r="B383" i="14"/>
  <c r="B384" i="14"/>
  <c r="B385" i="14"/>
  <c r="B386" i="14"/>
  <c r="B387" i="14"/>
  <c r="B388" i="14"/>
  <c r="B389" i="14"/>
  <c r="B390" i="14"/>
  <c r="B391" i="14"/>
  <c r="B392" i="14"/>
  <c r="B393" i="14"/>
  <c r="B394" i="14"/>
  <c r="B395" i="14"/>
  <c r="B396" i="14"/>
  <c r="B168" i="14"/>
  <c r="B169" i="14"/>
  <c r="B170" i="14"/>
  <c r="B171" i="14"/>
  <c r="B172" i="14"/>
  <c r="B173" i="14"/>
  <c r="B174" i="14"/>
  <c r="B175" i="14"/>
  <c r="B258" i="14"/>
  <c r="B259" i="14"/>
  <c r="B260" i="14"/>
  <c r="B261" i="14"/>
  <c r="B262" i="14"/>
  <c r="B263" i="14"/>
  <c r="B264" i="14"/>
  <c r="B265" i="14"/>
  <c r="B266" i="14"/>
  <c r="B267" i="14"/>
  <c r="B339" i="14"/>
  <c r="B340" i="14"/>
  <c r="B341" i="14"/>
  <c r="B342" i="14"/>
  <c r="B343" i="14"/>
  <c r="B344" i="14"/>
  <c r="B345" i="14"/>
  <c r="B346" i="14"/>
  <c r="B241" i="14"/>
  <c r="B719" i="14"/>
  <c r="B720" i="14"/>
  <c r="B721" i="14"/>
  <c r="B722" i="14"/>
  <c r="B723" i="14"/>
  <c r="B724" i="14"/>
  <c r="B725" i="14"/>
  <c r="B726" i="14"/>
  <c r="B665" i="14"/>
  <c r="B666" i="14"/>
  <c r="B667" i="14"/>
  <c r="B668" i="14"/>
  <c r="B669" i="14"/>
  <c r="B670" i="14"/>
  <c r="B671" i="14"/>
  <c r="B672" i="14"/>
  <c r="B673" i="14"/>
  <c r="B674" i="14"/>
  <c r="B675" i="14"/>
  <c r="B676" i="14"/>
  <c r="B677" i="14"/>
  <c r="B678" i="14"/>
  <c r="B679" i="14"/>
  <c r="B680" i="14"/>
  <c r="B681" i="14"/>
  <c r="B682" i="14"/>
  <c r="B364" i="14"/>
  <c r="B365" i="14"/>
  <c r="B366" i="14"/>
  <c r="B367" i="14"/>
  <c r="B368" i="14"/>
  <c r="B369" i="14"/>
  <c r="B370" i="14"/>
  <c r="B371" i="14"/>
  <c r="B372" i="14"/>
  <c r="B373" i="14"/>
  <c r="B374" i="14"/>
  <c r="B375" i="14"/>
  <c r="B376" i="14"/>
  <c r="B377" i="14"/>
  <c r="B378" i="14"/>
  <c r="B379" i="14"/>
  <c r="B539" i="14"/>
  <c r="B540" i="14"/>
  <c r="B541" i="14"/>
  <c r="B542" i="14"/>
  <c r="B543" i="14"/>
  <c r="B544" i="14"/>
  <c r="B545" i="14"/>
  <c r="B546" i="14"/>
  <c r="B547" i="14"/>
  <c r="B548" i="14"/>
  <c r="B683" i="14"/>
  <c r="B684" i="14"/>
  <c r="B685" i="14"/>
  <c r="B686" i="14"/>
  <c r="B687" i="14"/>
  <c r="B688" i="14"/>
  <c r="B689" i="14"/>
  <c r="B690" i="14"/>
  <c r="B691" i="14"/>
  <c r="B692" i="14"/>
  <c r="B693" i="14"/>
  <c r="B694" i="14"/>
  <c r="B695" i="14"/>
  <c r="B696" i="14"/>
  <c r="B697" i="14"/>
  <c r="B698" i="14"/>
  <c r="B699" i="14"/>
  <c r="B700" i="14"/>
  <c r="B229" i="14"/>
  <c r="B230" i="14"/>
  <c r="B231" i="14"/>
  <c r="B232" i="14"/>
  <c r="B233" i="14"/>
  <c r="B234" i="14"/>
  <c r="B235" i="14"/>
  <c r="B236" i="14"/>
  <c r="B237" i="14"/>
  <c r="B238" i="14"/>
  <c r="B239" i="14"/>
  <c r="B240" i="14"/>
  <c r="B268" i="14"/>
  <c r="B269" i="14"/>
  <c r="B270" i="14"/>
  <c r="B271" i="14"/>
  <c r="B272" i="14"/>
  <c r="B273" i="14"/>
  <c r="B274" i="14"/>
  <c r="B275" i="14"/>
  <c r="B276" i="14"/>
  <c r="B277" i="14"/>
  <c r="B278" i="14"/>
  <c r="B279" i="14"/>
  <c r="B280" i="14"/>
  <c r="B281" i="14"/>
  <c r="B12" i="14"/>
  <c r="B13" i="14"/>
  <c r="B14" i="14"/>
  <c r="B15" i="14"/>
  <c r="B16" i="14"/>
  <c r="B17" i="14"/>
  <c r="B18" i="14"/>
  <c r="B19" i="14"/>
  <c r="B20" i="14"/>
  <c r="B21" i="14"/>
  <c r="B22" i="14"/>
  <c r="B23" i="14"/>
  <c r="B24" i="14"/>
  <c r="B348" i="14"/>
  <c r="B349" i="14"/>
  <c r="B350" i="14"/>
  <c r="B351" i="14"/>
  <c r="B352" i="14"/>
  <c r="B353" i="14"/>
  <c r="B354" i="14"/>
  <c r="B496" i="14"/>
  <c r="B497" i="14"/>
  <c r="B498" i="14"/>
  <c r="B499" i="14"/>
  <c r="B500" i="14"/>
  <c r="B501" i="14"/>
  <c r="B502" i="14"/>
  <c r="B216" i="14"/>
  <c r="B217" i="14"/>
  <c r="B218" i="14"/>
  <c r="B219" i="14"/>
  <c r="B220" i="14"/>
  <c r="B221" i="14"/>
  <c r="B222" i="14"/>
  <c r="B223" i="14"/>
  <c r="B224" i="14"/>
  <c r="B225" i="14"/>
  <c r="B226" i="14"/>
  <c r="B227" i="14"/>
  <c r="B228" i="14"/>
  <c r="B61" i="14"/>
  <c r="B62" i="14"/>
  <c r="B63" i="14"/>
  <c r="B772" i="14"/>
  <c r="B773" i="14"/>
  <c r="B774" i="14"/>
  <c r="B775" i="14"/>
  <c r="B776" i="14"/>
  <c r="B777" i="14"/>
  <c r="B778" i="14"/>
  <c r="B779" i="14"/>
  <c r="B780" i="14"/>
  <c r="B781" i="14"/>
  <c r="B782" i="14"/>
  <c r="B783" i="14"/>
  <c r="B215" i="14"/>
  <c r="B503" i="14"/>
  <c r="B504" i="14"/>
  <c r="B505" i="14"/>
  <c r="B506" i="14"/>
  <c r="B507" i="14"/>
  <c r="B508" i="14"/>
  <c r="B509" i="14"/>
  <c r="B510" i="14"/>
  <c r="B511" i="14"/>
  <c r="B512" i="14"/>
  <c r="B513" i="14"/>
  <c r="B514" i="14"/>
  <c r="B515" i="14"/>
  <c r="B516" i="14"/>
  <c r="B517" i="14"/>
  <c r="B518" i="14"/>
  <c r="B83" i="14"/>
  <c r="B84" i="14"/>
  <c r="B85" i="14"/>
  <c r="B86" i="14"/>
  <c r="B87" i="14"/>
  <c r="B88" i="14"/>
  <c r="B89" i="14"/>
  <c r="B90" i="14"/>
  <c r="B3" i="14"/>
  <c r="B4" i="14"/>
  <c r="B5" i="14"/>
  <c r="B6" i="14"/>
  <c r="B7" i="14"/>
  <c r="B8" i="14"/>
  <c r="B9" i="14"/>
  <c r="B10" i="14"/>
  <c r="B11" i="14"/>
  <c r="B2" i="14"/>
  <c r="C8" i="11" l="1" a="1"/>
  <c r="C8" i="11" s="1"/>
  <c r="C8" i="9" a="1"/>
  <c r="C8" i="9" s="1"/>
  <c r="C70" i="9" s="1"/>
  <c r="C8" i="6" a="1"/>
  <c r="C8" i="6" s="1"/>
  <c r="E58" i="6" s="1"/>
  <c r="Q1" i="10" a="1"/>
  <c r="Q1" i="10" s="1"/>
  <c r="Q1" i="7" a="1"/>
  <c r="Q1" i="7" s="1"/>
  <c r="Q1" i="12" a="1"/>
  <c r="Q1" i="12" s="1"/>
  <c r="I79" i="9"/>
  <c r="B13" i="10" l="1"/>
  <c r="B17" i="10"/>
  <c r="C4" i="6" l="1"/>
  <c r="N18" i="9"/>
  <c r="L84" i="9" l="1"/>
  <c r="F86" i="9" s="1"/>
  <c r="C75" i="7" l="1"/>
  <c r="C74" i="7"/>
  <c r="C73" i="7"/>
  <c r="C71" i="7"/>
  <c r="C70" i="7"/>
  <c r="C69" i="7"/>
  <c r="C68" i="7"/>
  <c r="C66" i="7"/>
  <c r="C65" i="7"/>
  <c r="C64" i="7"/>
  <c r="N45" i="11"/>
  <c r="N40" i="11"/>
  <c r="N18" i="11"/>
  <c r="M33" i="11"/>
  <c r="B13" i="7"/>
  <c r="N44" i="6"/>
  <c r="N47" i="6"/>
  <c r="N46" i="6"/>
  <c r="N45" i="6"/>
  <c r="B11" i="12" l="1"/>
  <c r="I9" i="5" l="1"/>
  <c r="B9" i="7" l="1"/>
  <c r="M31" i="6"/>
  <c r="M27" i="6"/>
  <c r="M33" i="6"/>
  <c r="M32" i="6"/>
  <c r="N41" i="6"/>
  <c r="N40" i="6"/>
  <c r="N18" i="6"/>
  <c r="N17" i="6"/>
  <c r="M33" i="9" l="1"/>
  <c r="N41" i="9" l="1"/>
  <c r="Z7" i="4"/>
  <c r="Y7" i="4"/>
  <c r="X7" i="4"/>
  <c r="W7" i="4"/>
  <c r="Z6" i="4"/>
  <c r="Y6" i="4"/>
  <c r="X6" i="4"/>
  <c r="W6" i="4"/>
  <c r="Z5" i="4"/>
  <c r="Y5" i="4"/>
  <c r="X5" i="4"/>
  <c r="W5" i="4"/>
  <c r="Z4" i="4"/>
  <c r="Y4" i="4"/>
  <c r="X4" i="4"/>
  <c r="W4" i="4"/>
  <c r="V7" i="4"/>
  <c r="U7" i="4"/>
  <c r="T7" i="4"/>
  <c r="S7" i="4"/>
  <c r="V6" i="4"/>
  <c r="U6" i="4"/>
  <c r="T6" i="4"/>
  <c r="S6" i="4"/>
  <c r="V5" i="4"/>
  <c r="U5" i="4"/>
  <c r="T5" i="4"/>
  <c r="S5" i="4"/>
  <c r="V4" i="4"/>
  <c r="U4" i="4"/>
  <c r="T4" i="4"/>
  <c r="S4" i="4"/>
  <c r="R7" i="4"/>
  <c r="Q7" i="4"/>
  <c r="P7" i="4"/>
  <c r="O7" i="4"/>
  <c r="R6" i="4"/>
  <c r="Q6" i="4"/>
  <c r="P6" i="4"/>
  <c r="O6" i="4"/>
  <c r="R5" i="4"/>
  <c r="Q5" i="4"/>
  <c r="P5" i="4"/>
  <c r="O5" i="4"/>
  <c r="R4" i="4"/>
  <c r="Q4" i="4"/>
  <c r="P4" i="4"/>
  <c r="O4" i="4"/>
  <c r="M34" i="11"/>
  <c r="M32" i="11"/>
  <c r="M31" i="11"/>
  <c r="M29" i="11"/>
  <c r="N29" i="11" s="1"/>
  <c r="M28" i="11"/>
  <c r="N28" i="11" s="1"/>
  <c r="M27" i="11"/>
  <c r="N27" i="11" s="1"/>
  <c r="M34" i="6"/>
  <c r="N34" i="6" s="1"/>
  <c r="N33" i="6"/>
  <c r="N32" i="6"/>
  <c r="N31" i="6"/>
  <c r="M29" i="6"/>
  <c r="N29" i="6" s="1"/>
  <c r="M28" i="6"/>
  <c r="N28" i="6" s="1"/>
  <c r="M34" i="9"/>
  <c r="M32" i="9"/>
  <c r="M31" i="9"/>
  <c r="M29" i="9"/>
  <c r="M28" i="9"/>
  <c r="N28" i="9" s="1"/>
  <c r="M27" i="9"/>
  <c r="N27" i="9" s="1"/>
  <c r="N47" i="9"/>
  <c r="N46" i="9"/>
  <c r="N44" i="9"/>
  <c r="N39" i="9"/>
  <c r="N36" i="9"/>
  <c r="N35" i="9"/>
  <c r="N34" i="9"/>
  <c r="N33" i="9"/>
  <c r="N31" i="9"/>
  <c r="N30" i="9"/>
  <c r="N29" i="9"/>
  <c r="N26" i="9"/>
  <c r="N39" i="6"/>
  <c r="N36" i="6"/>
  <c r="N35" i="6"/>
  <c r="N30" i="6"/>
  <c r="N27" i="6"/>
  <c r="N26" i="6"/>
  <c r="N47" i="11"/>
  <c r="N46" i="11"/>
  <c r="N44" i="11"/>
  <c r="N41" i="11"/>
  <c r="N39" i="11"/>
  <c r="N36" i="11"/>
  <c r="N35" i="11"/>
  <c r="N34" i="11"/>
  <c r="N33" i="11"/>
  <c r="N32" i="11"/>
  <c r="N31" i="11"/>
  <c r="N30" i="11"/>
  <c r="N26" i="11"/>
  <c r="B9" i="12"/>
  <c r="L8" i="11"/>
  <c r="L8" i="6"/>
  <c r="O59" i="9"/>
  <c r="N65" i="9" s="1"/>
  <c r="B18" i="10"/>
  <c r="N23" i="11"/>
  <c r="N22" i="11"/>
  <c r="N21" i="11"/>
  <c r="N20" i="11"/>
  <c r="N19" i="11"/>
  <c r="N17" i="11"/>
  <c r="N16" i="11"/>
  <c r="N15" i="11"/>
  <c r="B34" i="10"/>
  <c r="B35" i="10" s="1"/>
  <c r="B36" i="10" s="1"/>
  <c r="B37" i="10" s="1"/>
  <c r="B38" i="10" s="1"/>
  <c r="B39" i="10" s="1"/>
  <c r="B40" i="10" s="1"/>
  <c r="B41" i="10" s="1"/>
  <c r="B42" i="10" s="1"/>
  <c r="B43" i="10" s="1"/>
  <c r="B44" i="10" s="1"/>
  <c r="C33" i="10"/>
  <c r="B9" i="10"/>
  <c r="I10" i="10" s="1"/>
  <c r="N49" i="11" l="1"/>
  <c r="B12" i="10"/>
  <c r="B19" i="10"/>
  <c r="L59" i="11" s="1"/>
  <c r="B12" i="12"/>
  <c r="C37" i="10"/>
  <c r="C41" i="10"/>
  <c r="C34" i="10"/>
  <c r="C38" i="10"/>
  <c r="C42" i="10"/>
  <c r="H14" i="10"/>
  <c r="C35" i="10"/>
  <c r="C39" i="10"/>
  <c r="C43" i="10"/>
  <c r="C36" i="10"/>
  <c r="C40" i="10"/>
  <c r="H10" i="12"/>
  <c r="J9" i="12"/>
  <c r="H9" i="12"/>
  <c r="I13" i="12" s="1" a="1"/>
  <c r="I13" i="12" s="1"/>
  <c r="M49" i="11"/>
  <c r="H9" i="10"/>
  <c r="I14" i="10" s="1" a="1"/>
  <c r="I14" i="10" s="1"/>
  <c r="H10" i="10"/>
  <c r="J9" i="10"/>
  <c r="J18" i="10" s="1" a="1"/>
  <c r="J18" i="10" s="1"/>
  <c r="B11" i="10"/>
  <c r="N32" i="9"/>
  <c r="K53" i="11"/>
  <c r="C81" i="9"/>
  <c r="I9" i="12"/>
  <c r="I10" i="12"/>
  <c r="I9" i="10"/>
  <c r="B45" i="10"/>
  <c r="C44" i="10"/>
  <c r="B14" i="10" l="1"/>
  <c r="B15" i="10" s="1"/>
  <c r="J17" i="12" a="1"/>
  <c r="J17" i="12" s="1"/>
  <c r="I65" i="9" s="1"/>
  <c r="I70" i="9" s="1"/>
  <c r="O70" i="9" s="1"/>
  <c r="I14" i="12" a="1"/>
  <c r="I14" i="12" s="1"/>
  <c r="E45" i="10" a="1"/>
  <c r="E45" i="10" s="1"/>
  <c r="I15" i="10" a="1"/>
  <c r="I15" i="10" s="1"/>
  <c r="E43" i="10" a="1"/>
  <c r="E43" i="10" s="1"/>
  <c r="F43" i="10" s="1"/>
  <c r="G43" i="10" s="1"/>
  <c r="H40" i="10"/>
  <c r="H43" i="10"/>
  <c r="H42" i="10"/>
  <c r="H45" i="10"/>
  <c r="H36" i="10"/>
  <c r="H35" i="10"/>
  <c r="H38" i="10"/>
  <c r="H41" i="10"/>
  <c r="H39" i="10"/>
  <c r="H33" i="10"/>
  <c r="H34" i="10"/>
  <c r="H37" i="10"/>
  <c r="H44" i="10"/>
  <c r="F33" i="10"/>
  <c r="G33" i="10" s="1"/>
  <c r="B46" i="10"/>
  <c r="H46" i="10" s="1"/>
  <c r="C45" i="10"/>
  <c r="E44" i="10" l="1" a="1"/>
  <c r="E44" i="10" s="1"/>
  <c r="F44" i="10" s="1"/>
  <c r="G44" i="10" s="1"/>
  <c r="I44" i="10" s="1"/>
  <c r="I43" i="10"/>
  <c r="I33" i="10"/>
  <c r="F45" i="10"/>
  <c r="G45" i="10" s="1"/>
  <c r="I45" i="10" s="1"/>
  <c r="B47" i="10"/>
  <c r="C46" i="10"/>
  <c r="E47" i="10" l="1" a="1"/>
  <c r="E47" i="10" s="1"/>
  <c r="E46" i="10" s="1" a="1"/>
  <c r="E46" i="10" s="1"/>
  <c r="H47" i="10"/>
  <c r="B48" i="10"/>
  <c r="C47" i="10"/>
  <c r="H48" i="10" l="1"/>
  <c r="F47" i="10"/>
  <c r="G47" i="10" s="1"/>
  <c r="I47" i="10" s="1"/>
  <c r="F46" i="10"/>
  <c r="G46" i="10" s="1"/>
  <c r="I46" i="10" s="1"/>
  <c r="B49" i="10"/>
  <c r="C48" i="10"/>
  <c r="E49" i="10" l="1" a="1"/>
  <c r="E49" i="10" s="1"/>
  <c r="E48" i="10" s="1" a="1"/>
  <c r="E48" i="10" s="1"/>
  <c r="H49" i="10"/>
  <c r="C49" i="10"/>
  <c r="B50" i="10"/>
  <c r="H50" i="10" l="1"/>
  <c r="F49" i="10"/>
  <c r="G49" i="10" s="1"/>
  <c r="I49" i="10" s="1"/>
  <c r="F48" i="10"/>
  <c r="G48" i="10" s="1"/>
  <c r="I48" i="10" s="1"/>
  <c r="C50" i="10"/>
  <c r="B51" i="10"/>
  <c r="E51" i="10" l="1" a="1"/>
  <c r="E51" i="10" s="1"/>
  <c r="E50" i="10" s="1" a="1"/>
  <c r="E50" i="10" s="1"/>
  <c r="H51" i="10"/>
  <c r="C51" i="10"/>
  <c r="B52" i="10"/>
  <c r="H52" i="10" l="1"/>
  <c r="C52" i="10"/>
  <c r="B53" i="10"/>
  <c r="F51" i="10"/>
  <c r="G51" i="10" s="1"/>
  <c r="I51" i="10" s="1"/>
  <c r="F50" i="10"/>
  <c r="G50" i="10" s="1"/>
  <c r="I50" i="10" s="1"/>
  <c r="H53" i="10" l="1"/>
  <c r="E53" i="10" a="1"/>
  <c r="E53" i="10" s="1"/>
  <c r="E52" i="10" s="1" a="1"/>
  <c r="E52" i="10" s="1"/>
  <c r="C53" i="10"/>
  <c r="B54" i="10"/>
  <c r="H54" i="10" l="1"/>
  <c r="F53" i="10"/>
  <c r="G53" i="10" s="1"/>
  <c r="I53" i="10" s="1"/>
  <c r="F52" i="10"/>
  <c r="G52" i="10" s="1"/>
  <c r="I52" i="10" s="1"/>
  <c r="C54" i="10"/>
  <c r="B55" i="10"/>
  <c r="E55" i="10" l="1" a="1"/>
  <c r="E55" i="10" s="1"/>
  <c r="E54" i="10" s="1" a="1"/>
  <c r="E54" i="10" s="1"/>
  <c r="H55" i="10"/>
  <c r="C55" i="10"/>
  <c r="B56" i="10"/>
  <c r="H56" i="10" l="1"/>
  <c r="F55" i="10"/>
  <c r="G55" i="10" s="1"/>
  <c r="I55" i="10" s="1"/>
  <c r="F54" i="10"/>
  <c r="G54" i="10" s="1"/>
  <c r="I54" i="10" s="1"/>
  <c r="C56" i="10"/>
  <c r="B57" i="10"/>
  <c r="H57" i="10" l="1"/>
  <c r="E57" i="10" a="1"/>
  <c r="E57" i="10" s="1"/>
  <c r="E56" i="10" s="1" a="1"/>
  <c r="E56" i="10" s="1"/>
  <c r="C57" i="10"/>
  <c r="B58" i="10"/>
  <c r="H58" i="10" l="1"/>
  <c r="F57" i="10"/>
  <c r="G57" i="10" s="1"/>
  <c r="I57" i="10" s="1"/>
  <c r="F56" i="10"/>
  <c r="G56" i="10" s="1"/>
  <c r="I56" i="10" s="1"/>
  <c r="C58" i="10"/>
  <c r="B59" i="10"/>
  <c r="E59" i="10" l="1" a="1"/>
  <c r="E59" i="10" s="1"/>
  <c r="E58" i="10" s="1" a="1"/>
  <c r="E58" i="10" s="1"/>
  <c r="H59" i="10"/>
  <c r="C59" i="10"/>
  <c r="B60" i="10"/>
  <c r="H60" i="10" l="1"/>
  <c r="F59" i="10"/>
  <c r="G59" i="10" s="1"/>
  <c r="I59" i="10" s="1"/>
  <c r="F58" i="10"/>
  <c r="G58" i="10" s="1"/>
  <c r="I58" i="10" s="1"/>
  <c r="C60" i="10"/>
  <c r="B61" i="10"/>
  <c r="E61" i="10" l="1" a="1"/>
  <c r="E61" i="10" s="1"/>
  <c r="E60" i="10" s="1" a="1"/>
  <c r="E60" i="10" s="1"/>
  <c r="H61" i="10"/>
  <c r="C61" i="10"/>
  <c r="B62" i="10"/>
  <c r="H62" i="10" l="1"/>
  <c r="C62" i="10"/>
  <c r="B63" i="10"/>
  <c r="F61" i="10"/>
  <c r="G61" i="10" s="1"/>
  <c r="I61" i="10" s="1"/>
  <c r="F60" i="10"/>
  <c r="G60" i="10" s="1"/>
  <c r="I60" i="10" s="1"/>
  <c r="E63" i="10" l="1" a="1"/>
  <c r="E63" i="10" s="1"/>
  <c r="E62" i="10" s="1" a="1"/>
  <c r="E62" i="10" s="1"/>
  <c r="H63" i="10"/>
  <c r="C63" i="10"/>
  <c r="B64" i="10"/>
  <c r="H64" i="10" l="1"/>
  <c r="C64" i="10"/>
  <c r="B65" i="10"/>
  <c r="F63" i="10"/>
  <c r="G63" i="10" s="1"/>
  <c r="I63" i="10" s="1"/>
  <c r="F62" i="10"/>
  <c r="G62" i="10" s="1"/>
  <c r="I62" i="10" s="1"/>
  <c r="H65" i="10" l="1"/>
  <c r="E65" i="10" a="1"/>
  <c r="E65" i="10" s="1"/>
  <c r="E64" i="10" s="1" a="1"/>
  <c r="E64" i="10" s="1"/>
  <c r="C65" i="10"/>
  <c r="B66" i="10"/>
  <c r="H66" i="10" l="1"/>
  <c r="C66" i="10"/>
  <c r="B67" i="10"/>
  <c r="F65" i="10"/>
  <c r="G65" i="10" s="1"/>
  <c r="I65" i="10" s="1"/>
  <c r="F64" i="10"/>
  <c r="G64" i="10" s="1"/>
  <c r="I64" i="10" s="1"/>
  <c r="E67" i="10" l="1" a="1"/>
  <c r="E67" i="10" s="1"/>
  <c r="E66" i="10" s="1" a="1"/>
  <c r="E66" i="10" s="1"/>
  <c r="H67" i="10"/>
  <c r="C67" i="10"/>
  <c r="B68" i="10"/>
  <c r="H68" i="10" l="1"/>
  <c r="C68" i="10"/>
  <c r="B69" i="10"/>
  <c r="F67" i="10"/>
  <c r="G67" i="10" s="1"/>
  <c r="I67" i="10" s="1"/>
  <c r="F66" i="10"/>
  <c r="G66" i="10" s="1"/>
  <c r="I66" i="10" s="1"/>
  <c r="H69" i="10" l="1"/>
  <c r="E69" i="10" a="1"/>
  <c r="E69" i="10" s="1"/>
  <c r="E68" i="10" s="1" a="1"/>
  <c r="E68" i="10" s="1"/>
  <c r="C69" i="10"/>
  <c r="B70" i="10"/>
  <c r="H70" i="10" l="1"/>
  <c r="C70" i="10"/>
  <c r="B71" i="10"/>
  <c r="F69" i="10"/>
  <c r="G69" i="10" s="1"/>
  <c r="I69" i="10" s="1"/>
  <c r="F68" i="10"/>
  <c r="G68" i="10" s="1"/>
  <c r="I68" i="10" s="1"/>
  <c r="E71" i="10" l="1" a="1"/>
  <c r="E71" i="10" s="1"/>
  <c r="E70" i="10" s="1" a="1"/>
  <c r="E70" i="10" s="1"/>
  <c r="H71" i="10"/>
  <c r="C71" i="10"/>
  <c r="B72" i="10"/>
  <c r="H72" i="10" l="1"/>
  <c r="C72" i="10"/>
  <c r="B73" i="10"/>
  <c r="F71" i="10"/>
  <c r="G71" i="10" s="1"/>
  <c r="I71" i="10" s="1"/>
  <c r="F70" i="10"/>
  <c r="G70" i="10" s="1"/>
  <c r="I70" i="10" s="1"/>
  <c r="H73" i="10" l="1"/>
  <c r="E73" i="10" a="1"/>
  <c r="E73" i="10" s="1"/>
  <c r="E72" i="10" s="1" a="1"/>
  <c r="E72" i="10" s="1"/>
  <c r="C73" i="10"/>
  <c r="B74" i="10"/>
  <c r="H74" i="10" l="1"/>
  <c r="C74" i="10"/>
  <c r="B75" i="10"/>
  <c r="F73" i="10"/>
  <c r="G73" i="10" s="1"/>
  <c r="I73" i="10" s="1"/>
  <c r="F72" i="10"/>
  <c r="G72" i="10" s="1"/>
  <c r="I72" i="10" s="1"/>
  <c r="E75" i="10" l="1" a="1"/>
  <c r="E75" i="10" s="1"/>
  <c r="E74" i="10" s="1" a="1"/>
  <c r="E74" i="10" s="1"/>
  <c r="H75" i="10"/>
  <c r="C75" i="10"/>
  <c r="B76" i="10"/>
  <c r="H76" i="10" l="1"/>
  <c r="C76" i="10"/>
  <c r="B77" i="10"/>
  <c r="F75" i="10"/>
  <c r="G75" i="10" s="1"/>
  <c r="I75" i="10" s="1"/>
  <c r="F74" i="10"/>
  <c r="G74" i="10" s="1"/>
  <c r="I74" i="10" s="1"/>
  <c r="H77" i="10" l="1"/>
  <c r="E77" i="10" a="1"/>
  <c r="E77" i="10" s="1"/>
  <c r="E76" i="10" s="1" a="1"/>
  <c r="E76" i="10" s="1"/>
  <c r="C77" i="10"/>
  <c r="B78" i="10"/>
  <c r="H78" i="10" l="1"/>
  <c r="C78" i="10"/>
  <c r="B79" i="10"/>
  <c r="F77" i="10"/>
  <c r="G77" i="10" s="1"/>
  <c r="I77" i="10" s="1"/>
  <c r="F76" i="10"/>
  <c r="G76" i="10" s="1"/>
  <c r="I76" i="10" s="1"/>
  <c r="E79" i="10" l="1" a="1"/>
  <c r="E79" i="10" s="1"/>
  <c r="H79" i="10"/>
  <c r="C79" i="10"/>
  <c r="B80" i="10"/>
  <c r="H80" i="10" s="1"/>
  <c r="E78" i="10" l="1" a="1"/>
  <c r="E78" i="10" s="1"/>
  <c r="F78" i="10" s="1"/>
  <c r="G78" i="10" s="1"/>
  <c r="I78" i="10" s="1"/>
  <c r="C80" i="10"/>
  <c r="B81" i="10"/>
  <c r="F79" i="10"/>
  <c r="G79" i="10" s="1"/>
  <c r="I79" i="10" s="1"/>
  <c r="H81" i="10" l="1"/>
  <c r="E81" i="10" a="1"/>
  <c r="E81" i="10" s="1"/>
  <c r="E80" i="10" s="1" a="1"/>
  <c r="E80" i="10" s="1"/>
  <c r="C81" i="10"/>
  <c r="B82" i="10"/>
  <c r="H82" i="10" l="1"/>
  <c r="C82" i="10"/>
  <c r="B83" i="10"/>
  <c r="F81" i="10"/>
  <c r="G81" i="10" s="1"/>
  <c r="I81" i="10" s="1"/>
  <c r="F80" i="10"/>
  <c r="G80" i="10" s="1"/>
  <c r="I80" i="10" s="1"/>
  <c r="E83" i="10" l="1" a="1"/>
  <c r="E83" i="10" s="1"/>
  <c r="E82" i="10" s="1" a="1"/>
  <c r="E82" i="10" s="1"/>
  <c r="H83" i="10"/>
  <c r="C83" i="10"/>
  <c r="B84" i="10"/>
  <c r="H84" i="10" l="1"/>
  <c r="C84" i="10"/>
  <c r="B85" i="10"/>
  <c r="F83" i="10"/>
  <c r="G83" i="10" s="1"/>
  <c r="I83" i="10" s="1"/>
  <c r="F82" i="10"/>
  <c r="G82" i="10" s="1"/>
  <c r="I82" i="10" s="1"/>
  <c r="H85" i="10" l="1"/>
  <c r="E85" i="10" a="1"/>
  <c r="E85" i="10" s="1"/>
  <c r="E84" i="10" s="1" a="1"/>
  <c r="E84" i="10" s="1"/>
  <c r="C85" i="10"/>
  <c r="B86" i="10"/>
  <c r="H86" i="10" l="1"/>
  <c r="C86" i="10"/>
  <c r="B87" i="10"/>
  <c r="F85" i="10"/>
  <c r="G85" i="10" s="1"/>
  <c r="I85" i="10" s="1"/>
  <c r="F84" i="10"/>
  <c r="G84" i="10" s="1"/>
  <c r="I84" i="10" s="1"/>
  <c r="H87" i="10" l="1"/>
  <c r="E87" i="10" a="1"/>
  <c r="E87" i="10" s="1"/>
  <c r="E86" i="10" s="1" a="1"/>
  <c r="E86" i="10" s="1"/>
  <c r="C87" i="10"/>
  <c r="B88" i="10"/>
  <c r="H88" i="10" l="1"/>
  <c r="C88" i="10"/>
  <c r="B89" i="10"/>
  <c r="F87" i="10"/>
  <c r="G87" i="10" s="1"/>
  <c r="I87" i="10" s="1"/>
  <c r="F86" i="10"/>
  <c r="G86" i="10" s="1"/>
  <c r="I86" i="10" s="1"/>
  <c r="H89" i="10" l="1"/>
  <c r="E89" i="10" a="1"/>
  <c r="E89" i="10" s="1"/>
  <c r="E88" i="10" s="1" a="1"/>
  <c r="E88" i="10" s="1"/>
  <c r="C89" i="10"/>
  <c r="B90" i="10"/>
  <c r="H90" i="10" l="1"/>
  <c r="C90" i="10"/>
  <c r="B91" i="10"/>
  <c r="F89" i="10"/>
  <c r="G89" i="10" s="1"/>
  <c r="I89" i="10" s="1"/>
  <c r="F88" i="10"/>
  <c r="G88" i="10" s="1"/>
  <c r="I88" i="10" s="1"/>
  <c r="E91" i="10" l="1" a="1"/>
  <c r="E91" i="10" s="1"/>
  <c r="H91" i="10"/>
  <c r="C91" i="10"/>
  <c r="B92" i="10"/>
  <c r="H92" i="10" s="1"/>
  <c r="E90" i="10" l="1" a="1"/>
  <c r="E90" i="10" s="1"/>
  <c r="F90" i="10" s="1"/>
  <c r="G90" i="10" s="1"/>
  <c r="I90" i="10" s="1"/>
  <c r="C92" i="10"/>
  <c r="B93" i="10"/>
  <c r="F91" i="10"/>
  <c r="G91" i="10" s="1"/>
  <c r="I91" i="10" s="1"/>
  <c r="E93" i="10" l="1" a="1"/>
  <c r="E93" i="10" s="1"/>
  <c r="E92" i="10" s="1" a="1"/>
  <c r="E92" i="10" s="1"/>
  <c r="H93" i="10"/>
  <c r="C93" i="10"/>
  <c r="B94" i="10"/>
  <c r="H94" i="10" l="1"/>
  <c r="F93" i="10"/>
  <c r="G93" i="10" s="1"/>
  <c r="I93" i="10" s="1"/>
  <c r="F92" i="10"/>
  <c r="G92" i="10" s="1"/>
  <c r="I92" i="10" s="1"/>
  <c r="C94" i="10"/>
  <c r="B95" i="10"/>
  <c r="H95" i="10" l="1"/>
  <c r="E95" i="10" a="1"/>
  <c r="E95" i="10" s="1"/>
  <c r="E94" i="10" s="1" a="1"/>
  <c r="E94" i="10" s="1"/>
  <c r="C95" i="10"/>
  <c r="B96" i="10"/>
  <c r="H96" i="10" l="1"/>
  <c r="F95" i="10"/>
  <c r="G95" i="10" s="1"/>
  <c r="I95" i="10" s="1"/>
  <c r="F94" i="10"/>
  <c r="G94" i="10" s="1"/>
  <c r="I94" i="10" s="1"/>
  <c r="C96" i="10"/>
  <c r="B97" i="10"/>
  <c r="E97" i="10" l="1" a="1"/>
  <c r="E97" i="10" s="1"/>
  <c r="E96" i="10" s="1" a="1"/>
  <c r="E96" i="10" s="1"/>
  <c r="H97" i="10"/>
  <c r="C97" i="10"/>
  <c r="B98" i="10"/>
  <c r="H98" i="10" l="1"/>
  <c r="F97" i="10"/>
  <c r="G97" i="10" s="1"/>
  <c r="I97" i="10" s="1"/>
  <c r="F96" i="10"/>
  <c r="G96" i="10" s="1"/>
  <c r="I96" i="10" s="1"/>
  <c r="C98" i="10"/>
  <c r="B99" i="10"/>
  <c r="H99" i="10" l="1"/>
  <c r="E99" i="10" a="1"/>
  <c r="E99" i="10" s="1"/>
  <c r="E98" i="10" s="1" a="1"/>
  <c r="E98" i="10" s="1"/>
  <c r="C99" i="10"/>
  <c r="B100" i="10"/>
  <c r="H100" i="10" l="1"/>
  <c r="F99" i="10"/>
  <c r="G99" i="10" s="1"/>
  <c r="I99" i="10" s="1"/>
  <c r="F98" i="10"/>
  <c r="G98" i="10" s="1"/>
  <c r="I98" i="10" s="1"/>
  <c r="C100" i="10"/>
  <c r="B101" i="10"/>
  <c r="E101" i="10" l="1" a="1"/>
  <c r="E101" i="10" s="1"/>
  <c r="E100" i="10" s="1" a="1"/>
  <c r="E100" i="10" s="1"/>
  <c r="H101" i="10"/>
  <c r="C101" i="10"/>
  <c r="B102" i="10"/>
  <c r="H102" i="10" l="1"/>
  <c r="C102" i="10"/>
  <c r="B103" i="10"/>
  <c r="F101" i="10"/>
  <c r="G101" i="10" s="1"/>
  <c r="I101" i="10" s="1"/>
  <c r="F100" i="10"/>
  <c r="G100" i="10" s="1"/>
  <c r="I100" i="10" s="1"/>
  <c r="H103" i="10" l="1"/>
  <c r="E103" i="10" a="1"/>
  <c r="E103" i="10" s="1"/>
  <c r="E102" i="10" s="1" a="1"/>
  <c r="E102" i="10" s="1"/>
  <c r="C103" i="10"/>
  <c r="B104" i="10"/>
  <c r="H104" i="10" l="1"/>
  <c r="F103" i="10"/>
  <c r="G103" i="10" s="1"/>
  <c r="I103" i="10" s="1"/>
  <c r="F102" i="10"/>
  <c r="G102" i="10" s="1"/>
  <c r="I102" i="10" s="1"/>
  <c r="C104" i="10"/>
  <c r="B105" i="10"/>
  <c r="H105" i="10" l="1"/>
  <c r="E105" i="10" a="1"/>
  <c r="E105" i="10" s="1"/>
  <c r="E104" i="10" s="1" a="1"/>
  <c r="E104" i="10" s="1"/>
  <c r="C105" i="10"/>
  <c r="B106" i="10"/>
  <c r="H106" i="10" l="1"/>
  <c r="F105" i="10"/>
  <c r="G105" i="10" s="1"/>
  <c r="I105" i="10" s="1"/>
  <c r="F104" i="10"/>
  <c r="G104" i="10" s="1"/>
  <c r="I104" i="10" s="1"/>
  <c r="C106" i="10"/>
  <c r="B107" i="10"/>
  <c r="H107" i="10" l="1"/>
  <c r="E107" i="10" a="1"/>
  <c r="E107" i="10" s="1"/>
  <c r="E106" i="10" s="1" a="1"/>
  <c r="E106" i="10" s="1"/>
  <c r="C107" i="10"/>
  <c r="B108" i="10"/>
  <c r="H108" i="10" l="1"/>
  <c r="C108" i="10"/>
  <c r="B109" i="10"/>
  <c r="F107" i="10"/>
  <c r="G107" i="10" s="1"/>
  <c r="I107" i="10" s="1"/>
  <c r="F106" i="10"/>
  <c r="G106" i="10" s="1"/>
  <c r="I106" i="10" s="1"/>
  <c r="H109" i="10" l="1"/>
  <c r="E109" i="10" a="1"/>
  <c r="E109" i="10" s="1"/>
  <c r="E108" i="10" s="1" a="1"/>
  <c r="E108" i="10" s="1"/>
  <c r="C109" i="10"/>
  <c r="B110" i="10"/>
  <c r="H110" i="10" l="1"/>
  <c r="F109" i="10"/>
  <c r="G109" i="10" s="1"/>
  <c r="I109" i="10" s="1"/>
  <c r="F108" i="10"/>
  <c r="G108" i="10" s="1"/>
  <c r="I108" i="10" s="1"/>
  <c r="C110" i="10"/>
  <c r="B111" i="10"/>
  <c r="H111" i="10" l="1"/>
  <c r="E111" i="10" a="1"/>
  <c r="E111" i="10" s="1"/>
  <c r="E110" i="10" s="1" a="1"/>
  <c r="E110" i="10" s="1"/>
  <c r="C111" i="10"/>
  <c r="B112" i="10"/>
  <c r="H112" i="10" l="1"/>
  <c r="F111" i="10"/>
  <c r="G111" i="10" s="1"/>
  <c r="I111" i="10" s="1"/>
  <c r="F110" i="10"/>
  <c r="G110" i="10" s="1"/>
  <c r="I110" i="10" s="1"/>
  <c r="C112" i="10"/>
  <c r="B113" i="10"/>
  <c r="H113" i="10" l="1"/>
  <c r="E113" i="10" a="1"/>
  <c r="E113" i="10" s="1"/>
  <c r="E112" i="10" s="1" a="1"/>
  <c r="E112" i="10" s="1"/>
  <c r="C113" i="10"/>
  <c r="B114" i="10"/>
  <c r="H114" i="10" l="1"/>
  <c r="F113" i="10"/>
  <c r="G113" i="10" s="1"/>
  <c r="I113" i="10" s="1"/>
  <c r="F112" i="10"/>
  <c r="G112" i="10" s="1"/>
  <c r="I112" i="10" s="1"/>
  <c r="C114" i="10"/>
  <c r="B115" i="10"/>
  <c r="H115" i="10" l="1"/>
  <c r="E115" i="10" a="1"/>
  <c r="E115" i="10" s="1"/>
  <c r="E114" i="10" s="1" a="1"/>
  <c r="E114" i="10" s="1"/>
  <c r="C115" i="10"/>
  <c r="B116" i="10"/>
  <c r="H116" i="10" l="1"/>
  <c r="F115" i="10"/>
  <c r="G115" i="10" s="1"/>
  <c r="I115" i="10" s="1"/>
  <c r="F114" i="10"/>
  <c r="G114" i="10" s="1"/>
  <c r="I114" i="10" s="1"/>
  <c r="C116" i="10"/>
  <c r="B117" i="10"/>
  <c r="H117" i="10" l="1"/>
  <c r="E117" i="10" a="1"/>
  <c r="E117" i="10" s="1"/>
  <c r="E116" i="10" s="1" a="1"/>
  <c r="E116" i="10" s="1"/>
  <c r="C117" i="10"/>
  <c r="B118" i="10"/>
  <c r="H118" i="10" l="1"/>
  <c r="C118" i="10"/>
  <c r="B119" i="10"/>
  <c r="F117" i="10"/>
  <c r="G117" i="10" s="1"/>
  <c r="I117" i="10" s="1"/>
  <c r="F116" i="10"/>
  <c r="G116" i="10" s="1"/>
  <c r="I116" i="10" s="1"/>
  <c r="H119" i="10" l="1"/>
  <c r="E119" i="10" a="1"/>
  <c r="E119" i="10" s="1"/>
  <c r="E118" i="10" s="1" a="1"/>
  <c r="E118" i="10" s="1"/>
  <c r="C119" i="10"/>
  <c r="B120" i="10"/>
  <c r="H120" i="10" l="1"/>
  <c r="F119" i="10"/>
  <c r="G119" i="10" s="1"/>
  <c r="I119" i="10" s="1"/>
  <c r="F118" i="10"/>
  <c r="G118" i="10" s="1"/>
  <c r="I118" i="10" s="1"/>
  <c r="C120" i="10"/>
  <c r="B121" i="10"/>
  <c r="E121" i="10" l="1" a="1"/>
  <c r="E121" i="10" s="1"/>
  <c r="H121" i="10"/>
  <c r="C121" i="10"/>
  <c r="B122" i="10"/>
  <c r="H122" i="10" s="1"/>
  <c r="E120" i="10" l="1" a="1"/>
  <c r="E120" i="10" s="1"/>
  <c r="F120" i="10" s="1"/>
  <c r="G120" i="10" s="1"/>
  <c r="I120" i="10" s="1"/>
  <c r="C122" i="10"/>
  <c r="B123" i="10"/>
  <c r="F121" i="10"/>
  <c r="G121" i="10" s="1"/>
  <c r="I121" i="10" s="1"/>
  <c r="H123" i="10" l="1"/>
  <c r="E123" i="10" a="1"/>
  <c r="E123" i="10" s="1"/>
  <c r="E122" i="10" s="1" a="1"/>
  <c r="E122" i="10" s="1"/>
  <c r="C123" i="10"/>
  <c r="B124" i="10"/>
  <c r="H124" i="10" l="1"/>
  <c r="F123" i="10"/>
  <c r="G123" i="10" s="1"/>
  <c r="I123" i="10" s="1"/>
  <c r="F122" i="10"/>
  <c r="G122" i="10" s="1"/>
  <c r="I122" i="10" s="1"/>
  <c r="C124" i="10"/>
  <c r="B125" i="10"/>
  <c r="H125" i="10" l="1"/>
  <c r="E125" i="10" a="1"/>
  <c r="E125" i="10" s="1"/>
  <c r="E124" i="10" s="1" a="1"/>
  <c r="E124" i="10" s="1"/>
  <c r="C125" i="10"/>
  <c r="B126" i="10"/>
  <c r="H126" i="10" l="1"/>
  <c r="F125" i="10"/>
  <c r="G125" i="10" s="1"/>
  <c r="I125" i="10" s="1"/>
  <c r="F124" i="10"/>
  <c r="G124" i="10" s="1"/>
  <c r="I124" i="10" s="1"/>
  <c r="C126" i="10"/>
  <c r="B127" i="10"/>
  <c r="E127" i="10" l="1" a="1"/>
  <c r="E127" i="10" s="1"/>
  <c r="E126" i="10" s="1" a="1"/>
  <c r="E126" i="10" s="1"/>
  <c r="H127" i="10"/>
  <c r="C127" i="10"/>
  <c r="B128" i="10"/>
  <c r="H128" i="10" l="1"/>
  <c r="C128" i="10"/>
  <c r="B129" i="10"/>
  <c r="F127" i="10"/>
  <c r="G127" i="10" s="1"/>
  <c r="I127" i="10" s="1"/>
  <c r="F126" i="10"/>
  <c r="G126" i="10" s="1"/>
  <c r="I126" i="10" s="1"/>
  <c r="E129" i="10" l="1" a="1"/>
  <c r="E129" i="10" s="1"/>
  <c r="E128" i="10" s="1" a="1"/>
  <c r="E128" i="10" s="1"/>
  <c r="H129" i="10"/>
  <c r="C129" i="10"/>
  <c r="B130" i="10"/>
  <c r="H130" i="10" l="1"/>
  <c r="F129" i="10"/>
  <c r="G129" i="10" s="1"/>
  <c r="I129" i="10" s="1"/>
  <c r="F128" i="10"/>
  <c r="G128" i="10" s="1"/>
  <c r="I128" i="10" s="1"/>
  <c r="C130" i="10"/>
  <c r="B131" i="10"/>
  <c r="E131" i="10" l="1" a="1"/>
  <c r="E131" i="10" s="1"/>
  <c r="H131" i="10"/>
  <c r="C131" i="10"/>
  <c r="B132" i="10"/>
  <c r="H132" i="10" s="1"/>
  <c r="E130" i="10" l="1" a="1"/>
  <c r="E130" i="10" s="1"/>
  <c r="F130" i="10" s="1"/>
  <c r="G130" i="10" s="1"/>
  <c r="I130" i="10" s="1"/>
  <c r="F131" i="10"/>
  <c r="G131" i="10" s="1"/>
  <c r="I131" i="10" s="1"/>
  <c r="C132" i="10"/>
  <c r="B133" i="10"/>
  <c r="E133" i="10" l="1" a="1"/>
  <c r="E133" i="10" s="1"/>
  <c r="E132" i="10" s="1" a="1"/>
  <c r="E132" i="10" s="1"/>
  <c r="H133" i="10"/>
  <c r="C133" i="10"/>
  <c r="B134" i="10"/>
  <c r="H134" i="10" l="1"/>
  <c r="C134" i="10"/>
  <c r="B135" i="10"/>
  <c r="F133" i="10"/>
  <c r="G133" i="10" s="1"/>
  <c r="I133" i="10" s="1"/>
  <c r="F132" i="10"/>
  <c r="G132" i="10" s="1"/>
  <c r="I132" i="10" s="1"/>
  <c r="E135" i="10" l="1" a="1"/>
  <c r="E135" i="10" s="1"/>
  <c r="E134" i="10" s="1" a="1"/>
  <c r="E134" i="10" s="1"/>
  <c r="H135" i="10"/>
  <c r="B136" i="10"/>
  <c r="C135" i="10"/>
  <c r="H136" i="10" l="1"/>
  <c r="F135" i="10"/>
  <c r="G135" i="10" s="1"/>
  <c r="I135" i="10" s="1"/>
  <c r="F134" i="10"/>
  <c r="G134" i="10" s="1"/>
  <c r="I134" i="10" s="1"/>
  <c r="B137" i="10"/>
  <c r="C136" i="10"/>
  <c r="H137" i="10" l="1"/>
  <c r="E137" i="10" a="1"/>
  <c r="E137" i="10" s="1"/>
  <c r="E136" i="10" s="1" a="1"/>
  <c r="E136" i="10" s="1"/>
  <c r="B138" i="10"/>
  <c r="C137" i="10"/>
  <c r="H138" i="10" l="1"/>
  <c r="F137" i="10"/>
  <c r="G137" i="10" s="1"/>
  <c r="I137" i="10" s="1"/>
  <c r="F136" i="10"/>
  <c r="G136" i="10" s="1"/>
  <c r="I136" i="10" s="1"/>
  <c r="B139" i="10"/>
  <c r="C138" i="10"/>
  <c r="E139" i="10" l="1" a="1"/>
  <c r="E139" i="10" s="1"/>
  <c r="E138" i="10" s="1" a="1"/>
  <c r="E138" i="10" s="1"/>
  <c r="H139" i="10"/>
  <c r="B140" i="10"/>
  <c r="C139" i="10"/>
  <c r="H140" i="10" l="1"/>
  <c r="F139" i="10"/>
  <c r="G139" i="10" s="1"/>
  <c r="I139" i="10" s="1"/>
  <c r="F138" i="10"/>
  <c r="G138" i="10" s="1"/>
  <c r="I138" i="10" s="1"/>
  <c r="B141" i="10"/>
  <c r="C140" i="10"/>
  <c r="H141" i="10" l="1"/>
  <c r="E141" i="10" a="1"/>
  <c r="E141" i="10" s="1"/>
  <c r="E140" i="10" s="1" a="1"/>
  <c r="E140" i="10" s="1"/>
  <c r="B142" i="10"/>
  <c r="C141" i="10"/>
  <c r="H142" i="10" l="1"/>
  <c r="F141" i="10"/>
  <c r="G141" i="10" s="1"/>
  <c r="I141" i="10" s="1"/>
  <c r="F140" i="10"/>
  <c r="G140" i="10" s="1"/>
  <c r="I140" i="10" s="1"/>
  <c r="B143" i="10"/>
  <c r="C142" i="10"/>
  <c r="E143" i="10" l="1" a="1"/>
  <c r="E143" i="10" s="1"/>
  <c r="E142" i="10" s="1" a="1"/>
  <c r="E142" i="10" s="1"/>
  <c r="H143" i="10"/>
  <c r="B144" i="10"/>
  <c r="C143" i="10"/>
  <c r="H144" i="10" l="1"/>
  <c r="F143" i="10"/>
  <c r="G143" i="10" s="1"/>
  <c r="I143" i="10" s="1"/>
  <c r="F142" i="10"/>
  <c r="G142" i="10" s="1"/>
  <c r="I142" i="10" s="1"/>
  <c r="B145" i="10"/>
  <c r="C144" i="10"/>
  <c r="H145" i="10" l="1"/>
  <c r="E145" i="10" a="1"/>
  <c r="E145" i="10" s="1"/>
  <c r="E144" i="10" s="1" a="1"/>
  <c r="E144" i="10" s="1"/>
  <c r="B146" i="10"/>
  <c r="C145" i="10"/>
  <c r="H146" i="10" l="1"/>
  <c r="F145" i="10"/>
  <c r="G145" i="10" s="1"/>
  <c r="I145" i="10" s="1"/>
  <c r="F144" i="10"/>
  <c r="G144" i="10" s="1"/>
  <c r="I144" i="10" s="1"/>
  <c r="B147" i="10"/>
  <c r="C146" i="10"/>
  <c r="H147" i="10" l="1"/>
  <c r="E147" i="10" a="1"/>
  <c r="E147" i="10" s="1"/>
  <c r="E146" i="10" s="1" a="1"/>
  <c r="E146" i="10" s="1"/>
  <c r="B148" i="10"/>
  <c r="C147" i="10"/>
  <c r="H148" i="10" l="1"/>
  <c r="F147" i="10"/>
  <c r="G147" i="10" s="1"/>
  <c r="I147" i="10" s="1"/>
  <c r="F146" i="10"/>
  <c r="G146" i="10" s="1"/>
  <c r="I146" i="10" s="1"/>
  <c r="B149" i="10"/>
  <c r="C148" i="10"/>
  <c r="E149" i="10" l="1" a="1"/>
  <c r="E149" i="10" s="1"/>
  <c r="H149" i="10"/>
  <c r="B150" i="10"/>
  <c r="H150" i="10" s="1"/>
  <c r="C149" i="10"/>
  <c r="E148" i="10" l="1" a="1"/>
  <c r="E148" i="10" s="1"/>
  <c r="F148" i="10" s="1"/>
  <c r="G148" i="10" s="1"/>
  <c r="I148" i="10" s="1"/>
  <c r="F149" i="10"/>
  <c r="G149" i="10" s="1"/>
  <c r="I149" i="10" s="1"/>
  <c r="B151" i="10"/>
  <c r="C150" i="10"/>
  <c r="E151" i="10" l="1" a="1"/>
  <c r="E151" i="10" s="1"/>
  <c r="E150" i="10" s="1" a="1"/>
  <c r="E150" i="10" s="1"/>
  <c r="H151" i="10"/>
  <c r="B152" i="10"/>
  <c r="C151" i="10"/>
  <c r="H152" i="10" l="1"/>
  <c r="F151" i="10"/>
  <c r="G151" i="10" s="1"/>
  <c r="I151" i="10" s="1"/>
  <c r="F150" i="10"/>
  <c r="G150" i="10" s="1"/>
  <c r="I150" i="10" s="1"/>
  <c r="B153" i="10"/>
  <c r="C152" i="10"/>
  <c r="E153" i="10" l="1" a="1"/>
  <c r="E153" i="10" s="1"/>
  <c r="E152" i="10" s="1" a="1"/>
  <c r="E152" i="10" s="1"/>
  <c r="H153" i="10"/>
  <c r="B154" i="10"/>
  <c r="C153" i="10"/>
  <c r="H154" i="10" l="1"/>
  <c r="F153" i="10"/>
  <c r="G153" i="10" s="1"/>
  <c r="I153" i="10" s="1"/>
  <c r="F152" i="10"/>
  <c r="G152" i="10" s="1"/>
  <c r="I152" i="10" s="1"/>
  <c r="B155" i="10"/>
  <c r="C154" i="10"/>
  <c r="H155" i="10" l="1"/>
  <c r="E155" i="10" a="1"/>
  <c r="E155" i="10" s="1"/>
  <c r="E154" i="10" s="1" a="1"/>
  <c r="E154" i="10" s="1"/>
  <c r="B156" i="10"/>
  <c r="C155" i="10"/>
  <c r="H156" i="10" l="1"/>
  <c r="F155" i="10"/>
  <c r="G155" i="10" s="1"/>
  <c r="I155" i="10" s="1"/>
  <c r="F154" i="10"/>
  <c r="G154" i="10" s="1"/>
  <c r="I154" i="10" s="1"/>
  <c r="B157" i="10"/>
  <c r="C156" i="10"/>
  <c r="H157" i="10" l="1"/>
  <c r="E157" i="10" a="1"/>
  <c r="E157" i="10" s="1"/>
  <c r="E156" i="10" s="1" a="1"/>
  <c r="E156" i="10" s="1"/>
  <c r="B158" i="10"/>
  <c r="C157" i="10"/>
  <c r="H158" i="10" l="1"/>
  <c r="F157" i="10"/>
  <c r="G157" i="10" s="1"/>
  <c r="I157" i="10" s="1"/>
  <c r="F156" i="10"/>
  <c r="G156" i="10" s="1"/>
  <c r="I156" i="10" s="1"/>
  <c r="B159" i="10"/>
  <c r="C158" i="10"/>
  <c r="H159" i="10" l="1"/>
  <c r="E159" i="10" a="1"/>
  <c r="E159" i="10" s="1"/>
  <c r="E158" i="10" s="1" a="1"/>
  <c r="E158" i="10" s="1"/>
  <c r="B160" i="10"/>
  <c r="C159" i="10"/>
  <c r="H160" i="10" l="1"/>
  <c r="F159" i="10"/>
  <c r="G159" i="10" s="1"/>
  <c r="I159" i="10" s="1"/>
  <c r="F158" i="10"/>
  <c r="G158" i="10" s="1"/>
  <c r="I158" i="10" s="1"/>
  <c r="B161" i="10"/>
  <c r="C160" i="10"/>
  <c r="H161" i="10" l="1"/>
  <c r="E161" i="10" a="1"/>
  <c r="E161" i="10" s="1"/>
  <c r="E160" i="10" s="1" a="1"/>
  <c r="E160" i="10" s="1"/>
  <c r="B162" i="10"/>
  <c r="C161" i="10"/>
  <c r="H162" i="10" l="1"/>
  <c r="F161" i="10"/>
  <c r="G161" i="10" s="1"/>
  <c r="I161" i="10" s="1"/>
  <c r="F160" i="10"/>
  <c r="G160" i="10" s="1"/>
  <c r="I160" i="10" s="1"/>
  <c r="B163" i="10"/>
  <c r="C162" i="10"/>
  <c r="E163" i="10" l="1" a="1"/>
  <c r="E163" i="10" s="1"/>
  <c r="E162" i="10" s="1" a="1"/>
  <c r="E162" i="10" s="1"/>
  <c r="H163" i="10"/>
  <c r="B164" i="10"/>
  <c r="C163" i="10"/>
  <c r="H164" i="10" l="1"/>
  <c r="F163" i="10"/>
  <c r="G163" i="10" s="1"/>
  <c r="I163" i="10" s="1"/>
  <c r="F162" i="10"/>
  <c r="G162" i="10" s="1"/>
  <c r="I162" i="10" s="1"/>
  <c r="B165" i="10"/>
  <c r="C164" i="10"/>
  <c r="E165" i="10" l="1" a="1"/>
  <c r="E165" i="10" s="1"/>
  <c r="E164" i="10" s="1" a="1"/>
  <c r="E164" i="10" s="1"/>
  <c r="H165" i="10"/>
  <c r="B166" i="10"/>
  <c r="C165" i="10"/>
  <c r="H166" i="10" l="1"/>
  <c r="F165" i="10"/>
  <c r="G165" i="10" s="1"/>
  <c r="I165" i="10" s="1"/>
  <c r="F164" i="10"/>
  <c r="G164" i="10" s="1"/>
  <c r="I164" i="10" s="1"/>
  <c r="B167" i="10"/>
  <c r="C166" i="10"/>
  <c r="H167" i="10" l="1"/>
  <c r="E167" i="10" a="1"/>
  <c r="E167" i="10" s="1"/>
  <c r="E166" i="10" s="1" a="1"/>
  <c r="E166" i="10" s="1"/>
  <c r="B168" i="10"/>
  <c r="C167" i="10"/>
  <c r="H168" i="10" l="1"/>
  <c r="F167" i="10"/>
  <c r="G167" i="10" s="1"/>
  <c r="I167" i="10" s="1"/>
  <c r="F166" i="10"/>
  <c r="G166" i="10" s="1"/>
  <c r="I166" i="10" s="1"/>
  <c r="B169" i="10"/>
  <c r="C168" i="10"/>
  <c r="E169" i="10" l="1" a="1"/>
  <c r="E169" i="10" s="1"/>
  <c r="E168" i="10" s="1" a="1"/>
  <c r="E168" i="10" s="1"/>
  <c r="H169" i="10"/>
  <c r="B170" i="10"/>
  <c r="C169" i="10"/>
  <c r="H170" i="10" l="1"/>
  <c r="F169" i="10"/>
  <c r="G169" i="10" s="1"/>
  <c r="I169" i="10" s="1"/>
  <c r="F168" i="10"/>
  <c r="G168" i="10" s="1"/>
  <c r="I168" i="10" s="1"/>
  <c r="B171" i="10"/>
  <c r="C170" i="10"/>
  <c r="E171" i="10" l="1" a="1"/>
  <c r="E171" i="10" s="1"/>
  <c r="H171" i="10"/>
  <c r="B172" i="10"/>
  <c r="H172" i="10" s="1"/>
  <c r="C171" i="10"/>
  <c r="E170" i="10" l="1" a="1"/>
  <c r="E170" i="10" s="1"/>
  <c r="F170" i="10" s="1"/>
  <c r="G170" i="10" s="1"/>
  <c r="I170" i="10" s="1"/>
  <c r="B173" i="10"/>
  <c r="C172" i="10"/>
  <c r="F171" i="10"/>
  <c r="G171" i="10" s="1"/>
  <c r="I171" i="10" s="1"/>
  <c r="H173" i="10" l="1"/>
  <c r="E173" i="10" a="1"/>
  <c r="E173" i="10" s="1"/>
  <c r="E172" i="10" s="1" a="1"/>
  <c r="E172" i="10" s="1"/>
  <c r="B174" i="10"/>
  <c r="C173" i="10"/>
  <c r="H174" i="10" l="1"/>
  <c r="F173" i="10"/>
  <c r="G173" i="10" s="1"/>
  <c r="I173" i="10" s="1"/>
  <c r="F172" i="10"/>
  <c r="G172" i="10" s="1"/>
  <c r="I172" i="10" s="1"/>
  <c r="B175" i="10"/>
  <c r="C174" i="10"/>
  <c r="H175" i="10" l="1"/>
  <c r="E175" i="10" a="1"/>
  <c r="E175" i="10" s="1"/>
  <c r="E174" i="10" s="1" a="1"/>
  <c r="E174" i="10" s="1"/>
  <c r="B176" i="10"/>
  <c r="C175" i="10"/>
  <c r="H176" i="10" l="1"/>
  <c r="F175" i="10"/>
  <c r="G175" i="10" s="1"/>
  <c r="I175" i="10" s="1"/>
  <c r="F174" i="10"/>
  <c r="G174" i="10" s="1"/>
  <c r="I174" i="10" s="1"/>
  <c r="B177" i="10"/>
  <c r="C176" i="10"/>
  <c r="E177" i="10" l="1" a="1"/>
  <c r="E177" i="10" s="1"/>
  <c r="E176" i="10" s="1" a="1"/>
  <c r="E176" i="10" s="1"/>
  <c r="H177" i="10"/>
  <c r="B178" i="10"/>
  <c r="C177" i="10"/>
  <c r="H178" i="10" l="1"/>
  <c r="F177" i="10"/>
  <c r="G177" i="10" s="1"/>
  <c r="I177" i="10" s="1"/>
  <c r="F176" i="10"/>
  <c r="G176" i="10" s="1"/>
  <c r="I176" i="10" s="1"/>
  <c r="B179" i="10"/>
  <c r="C178" i="10"/>
  <c r="H179" i="10" l="1"/>
  <c r="E179" i="10" a="1"/>
  <c r="E179" i="10" s="1"/>
  <c r="E178" i="10" s="1" a="1"/>
  <c r="E178" i="10" s="1"/>
  <c r="C179" i="10"/>
  <c r="B180" i="10"/>
  <c r="H180" i="10" l="1"/>
  <c r="B181" i="10"/>
  <c r="C180" i="10"/>
  <c r="F179" i="10"/>
  <c r="G179" i="10" s="1"/>
  <c r="I179" i="10" s="1"/>
  <c r="F178" i="10"/>
  <c r="G178" i="10" s="1"/>
  <c r="I178" i="10" s="1"/>
  <c r="E181" i="10" l="1" a="1"/>
  <c r="E181" i="10" s="1"/>
  <c r="E180" i="10" s="1" a="1"/>
  <c r="E180" i="10" s="1"/>
  <c r="H181" i="10"/>
  <c r="C181" i="10"/>
  <c r="B182" i="10"/>
  <c r="H182" i="10" l="1"/>
  <c r="F181" i="10"/>
  <c r="G181" i="10" s="1"/>
  <c r="I181" i="10" s="1"/>
  <c r="F180" i="10"/>
  <c r="G180" i="10" s="1"/>
  <c r="I180" i="10" s="1"/>
  <c r="B183" i="10"/>
  <c r="C182" i="10"/>
  <c r="H183" i="10" l="1"/>
  <c r="E183" i="10" a="1"/>
  <c r="E183" i="10" s="1"/>
  <c r="E182" i="10" s="1" a="1"/>
  <c r="E182" i="10" s="1"/>
  <c r="C183" i="10"/>
  <c r="B184" i="10"/>
  <c r="H184" i="10" l="1"/>
  <c r="B185" i="10"/>
  <c r="C184" i="10"/>
  <c r="F183" i="10"/>
  <c r="G183" i="10" s="1"/>
  <c r="I183" i="10" s="1"/>
  <c r="F182" i="10"/>
  <c r="G182" i="10" s="1"/>
  <c r="I182" i="10" s="1"/>
  <c r="H185" i="10" l="1"/>
  <c r="E185" i="10" a="1"/>
  <c r="E185" i="10" s="1"/>
  <c r="E184" i="10" s="1" a="1"/>
  <c r="E184" i="10" s="1"/>
  <c r="C185" i="10"/>
  <c r="B186" i="10"/>
  <c r="H186" i="10" l="1"/>
  <c r="B187" i="10"/>
  <c r="C186" i="10"/>
  <c r="F185" i="10"/>
  <c r="G185" i="10" s="1"/>
  <c r="I185" i="10" s="1"/>
  <c r="F184" i="10"/>
  <c r="G184" i="10" s="1"/>
  <c r="I184" i="10" s="1"/>
  <c r="E187" i="10" l="1" a="1"/>
  <c r="E187" i="10" s="1"/>
  <c r="E186" i="10" s="1" a="1"/>
  <c r="E186" i="10" s="1"/>
  <c r="H187" i="10"/>
  <c r="C187" i="10"/>
  <c r="B188" i="10"/>
  <c r="H188" i="10" l="1"/>
  <c r="B189" i="10"/>
  <c r="C188" i="10"/>
  <c r="F187" i="10"/>
  <c r="G187" i="10" s="1"/>
  <c r="I187" i="10" s="1"/>
  <c r="F186" i="10"/>
  <c r="G186" i="10" s="1"/>
  <c r="I186" i="10" s="1"/>
  <c r="E189" i="10" l="1" a="1"/>
  <c r="E189" i="10" s="1"/>
  <c r="E188" i="10" s="1" a="1"/>
  <c r="E188" i="10" s="1"/>
  <c r="H189" i="10"/>
  <c r="C189" i="10"/>
  <c r="B190" i="10"/>
  <c r="H190" i="10" l="1"/>
  <c r="C190" i="10"/>
  <c r="B191" i="10"/>
  <c r="F189" i="10"/>
  <c r="G189" i="10" s="1"/>
  <c r="I189" i="10" s="1"/>
  <c r="F188" i="10"/>
  <c r="G188" i="10" s="1"/>
  <c r="I188" i="10" s="1"/>
  <c r="E191" i="10" l="1" a="1"/>
  <c r="E191" i="10" s="1"/>
  <c r="E190" i="10" s="1" a="1"/>
  <c r="E190" i="10" s="1"/>
  <c r="H191" i="10"/>
  <c r="C191" i="10"/>
  <c r="B192" i="10"/>
  <c r="H192" i="10" l="1"/>
  <c r="C192" i="10"/>
  <c r="B193" i="10"/>
  <c r="F191" i="10"/>
  <c r="G191" i="10" s="1"/>
  <c r="I191" i="10" s="1"/>
  <c r="F190" i="10"/>
  <c r="G190" i="10" s="1"/>
  <c r="I190" i="10" s="1"/>
  <c r="H193" i="10" l="1"/>
  <c r="E193" i="10" a="1"/>
  <c r="E193" i="10" s="1"/>
  <c r="E192" i="10" s="1" a="1"/>
  <c r="E192" i="10" s="1"/>
  <c r="C193" i="10"/>
  <c r="B194" i="10"/>
  <c r="H194" i="10" l="1"/>
  <c r="B195" i="10"/>
  <c r="C194" i="10"/>
  <c r="F193" i="10"/>
  <c r="G193" i="10" s="1"/>
  <c r="I193" i="10" s="1"/>
  <c r="F192" i="10"/>
  <c r="G192" i="10" s="1"/>
  <c r="I192" i="10" s="1"/>
  <c r="H195" i="10" l="1"/>
  <c r="E195" i="10" a="1"/>
  <c r="E195" i="10" s="1"/>
  <c r="E194" i="10" s="1" a="1"/>
  <c r="E194" i="10" s="1"/>
  <c r="C195" i="10"/>
  <c r="B196" i="10"/>
  <c r="H196" i="10" l="1"/>
  <c r="B197" i="10"/>
  <c r="C196" i="10"/>
  <c r="F195" i="10"/>
  <c r="G195" i="10" s="1"/>
  <c r="I195" i="10" s="1"/>
  <c r="F194" i="10"/>
  <c r="G194" i="10" s="1"/>
  <c r="I194" i="10" s="1"/>
  <c r="H197" i="10" l="1"/>
  <c r="E197" i="10" a="1"/>
  <c r="E197" i="10" s="1"/>
  <c r="E196" i="10" s="1" a="1"/>
  <c r="E196" i="10" s="1"/>
  <c r="C197" i="10"/>
  <c r="B198" i="10"/>
  <c r="H198" i="10" l="1"/>
  <c r="B199" i="10"/>
  <c r="C198" i="10"/>
  <c r="F197" i="10"/>
  <c r="G197" i="10" s="1"/>
  <c r="I197" i="10" s="1"/>
  <c r="F196" i="10"/>
  <c r="G196" i="10" s="1"/>
  <c r="I196" i="10" s="1"/>
  <c r="E199" i="10" l="1" a="1"/>
  <c r="E199" i="10" s="1"/>
  <c r="E198" i="10" s="1" a="1"/>
  <c r="E198" i="10" s="1"/>
  <c r="H199" i="10"/>
  <c r="C199" i="10"/>
  <c r="B200" i="10"/>
  <c r="H200" i="10" l="1"/>
  <c r="F199" i="10"/>
  <c r="G199" i="10" s="1"/>
  <c r="I199" i="10" s="1"/>
  <c r="F198" i="10"/>
  <c r="G198" i="10" s="1"/>
  <c r="I198" i="10" s="1"/>
  <c r="B201" i="10"/>
  <c r="C200" i="10"/>
  <c r="E201" i="10" l="1" a="1"/>
  <c r="E201" i="10" s="1"/>
  <c r="E200" i="10" s="1" a="1"/>
  <c r="E200" i="10" s="1"/>
  <c r="H201" i="10"/>
  <c r="C201" i="10"/>
  <c r="B202" i="10"/>
  <c r="H202" i="10" l="1"/>
  <c r="B203" i="10"/>
  <c r="C202" i="10"/>
  <c r="F201" i="10"/>
  <c r="G201" i="10" s="1"/>
  <c r="I201" i="10" s="1"/>
  <c r="F200" i="10"/>
  <c r="G200" i="10" s="1"/>
  <c r="I200" i="10" s="1"/>
  <c r="E203" i="10" l="1" a="1"/>
  <c r="E203" i="10" s="1"/>
  <c r="E202" i="10" s="1" a="1"/>
  <c r="E202" i="10" s="1"/>
  <c r="H203" i="10"/>
  <c r="C203" i="10"/>
  <c r="B204" i="10"/>
  <c r="H204" i="10" l="1"/>
  <c r="B205" i="10"/>
  <c r="C204" i="10"/>
  <c r="F203" i="10"/>
  <c r="G203" i="10" s="1"/>
  <c r="I203" i="10" s="1"/>
  <c r="F202" i="10"/>
  <c r="G202" i="10" s="1"/>
  <c r="I202" i="10" s="1"/>
  <c r="E205" i="10" l="1" a="1"/>
  <c r="E205" i="10" s="1"/>
  <c r="E204" i="10" s="1" a="1"/>
  <c r="E204" i="10" s="1"/>
  <c r="H205" i="10"/>
  <c r="C205" i="10"/>
  <c r="B206" i="10"/>
  <c r="H206" i="10" l="1"/>
  <c r="B207" i="10"/>
  <c r="C206" i="10"/>
  <c r="F205" i="10"/>
  <c r="G205" i="10" s="1"/>
  <c r="I205" i="10" s="1"/>
  <c r="F204" i="10"/>
  <c r="G204" i="10" s="1"/>
  <c r="I204" i="10" s="1"/>
  <c r="E207" i="10" l="1" a="1"/>
  <c r="E207" i="10" s="1"/>
  <c r="E206" i="10" s="1" a="1"/>
  <c r="E206" i="10" s="1"/>
  <c r="H207" i="10"/>
  <c r="C207" i="10"/>
  <c r="B208" i="10"/>
  <c r="H208" i="10" l="1"/>
  <c r="B209" i="10"/>
  <c r="C208" i="10"/>
  <c r="F207" i="10"/>
  <c r="G207" i="10" s="1"/>
  <c r="I207" i="10" s="1"/>
  <c r="F206" i="10"/>
  <c r="G206" i="10" s="1"/>
  <c r="I206" i="10" s="1"/>
  <c r="E209" i="10" l="1" a="1"/>
  <c r="E209" i="10" s="1"/>
  <c r="E208" i="10" s="1" a="1"/>
  <c r="E208" i="10" s="1"/>
  <c r="H209" i="10"/>
  <c r="C209" i="10"/>
  <c r="B210" i="10"/>
  <c r="H210" i="10" l="1"/>
  <c r="B211" i="10"/>
  <c r="C210" i="10"/>
  <c r="F209" i="10"/>
  <c r="G209" i="10" s="1"/>
  <c r="I209" i="10" s="1"/>
  <c r="F208" i="10"/>
  <c r="G208" i="10" s="1"/>
  <c r="I208" i="10" s="1"/>
  <c r="H211" i="10" l="1"/>
  <c r="E211" i="10" a="1"/>
  <c r="E211" i="10" s="1"/>
  <c r="E210" i="10" s="1" a="1"/>
  <c r="E210" i="10" s="1"/>
  <c r="C211" i="10"/>
  <c r="B212" i="10"/>
  <c r="H212" i="10" l="1"/>
  <c r="B213" i="10"/>
  <c r="C212" i="10"/>
  <c r="F211" i="10"/>
  <c r="G211" i="10" s="1"/>
  <c r="I211" i="10" s="1"/>
  <c r="F210" i="10"/>
  <c r="G210" i="10" s="1"/>
  <c r="I210" i="10" s="1"/>
  <c r="H213" i="10" l="1"/>
  <c r="E213" i="10" a="1"/>
  <c r="E213" i="10" s="1"/>
  <c r="E212" i="10" s="1" a="1"/>
  <c r="E212" i="10" s="1"/>
  <c r="C213" i="10"/>
  <c r="B214" i="10"/>
  <c r="H214" i="10" l="1"/>
  <c r="B215" i="10"/>
  <c r="C214" i="10"/>
  <c r="F213" i="10"/>
  <c r="G213" i="10" s="1"/>
  <c r="I213" i="10" s="1"/>
  <c r="F212" i="10"/>
  <c r="G212" i="10" s="1"/>
  <c r="I212" i="10" s="1"/>
  <c r="E215" i="10" l="1" a="1"/>
  <c r="E215" i="10" s="1"/>
  <c r="E214" i="10" s="1" a="1"/>
  <c r="E214" i="10" s="1"/>
  <c r="H215" i="10"/>
  <c r="C215" i="10"/>
  <c r="B216" i="10"/>
  <c r="H216" i="10" l="1"/>
  <c r="B217" i="10"/>
  <c r="C216" i="10"/>
  <c r="F215" i="10"/>
  <c r="G215" i="10" s="1"/>
  <c r="I215" i="10" s="1"/>
  <c r="F214" i="10"/>
  <c r="G214" i="10" s="1"/>
  <c r="I214" i="10" s="1"/>
  <c r="H217" i="10" l="1"/>
  <c r="E217" i="10" a="1"/>
  <c r="E217" i="10" s="1"/>
  <c r="E216" i="10" s="1" a="1"/>
  <c r="E216" i="10" s="1"/>
  <c r="C217" i="10"/>
  <c r="B218" i="10"/>
  <c r="H218" i="10" l="1"/>
  <c r="B219" i="10"/>
  <c r="C218" i="10"/>
  <c r="F217" i="10"/>
  <c r="G217" i="10" s="1"/>
  <c r="I217" i="10" s="1"/>
  <c r="F216" i="10"/>
  <c r="G216" i="10" s="1"/>
  <c r="I216" i="10" s="1"/>
  <c r="H219" i="10" l="1"/>
  <c r="E219" i="10" a="1"/>
  <c r="E219" i="10" s="1"/>
  <c r="E218" i="10" s="1" a="1"/>
  <c r="E218" i="10" s="1"/>
  <c r="C219" i="10"/>
  <c r="B220" i="10"/>
  <c r="H220" i="10" l="1"/>
  <c r="B221" i="10"/>
  <c r="C220" i="10"/>
  <c r="F219" i="10"/>
  <c r="G219" i="10" s="1"/>
  <c r="I219" i="10" s="1"/>
  <c r="F218" i="10"/>
  <c r="G218" i="10" s="1"/>
  <c r="I218" i="10" s="1"/>
  <c r="H221" i="10" l="1"/>
  <c r="E221" i="10" a="1"/>
  <c r="E221" i="10" s="1"/>
  <c r="E220" i="10" s="1" a="1"/>
  <c r="E220" i="10" s="1"/>
  <c r="C221" i="10"/>
  <c r="B222" i="10"/>
  <c r="H222" i="10" l="1"/>
  <c r="B223" i="10"/>
  <c r="C222" i="10"/>
  <c r="F221" i="10"/>
  <c r="G221" i="10" s="1"/>
  <c r="I221" i="10" s="1"/>
  <c r="F220" i="10"/>
  <c r="G220" i="10" s="1"/>
  <c r="I220" i="10" s="1"/>
  <c r="H223" i="10" l="1"/>
  <c r="E223" i="10" a="1"/>
  <c r="E223" i="10" s="1"/>
  <c r="C223" i="10"/>
  <c r="B224" i="10"/>
  <c r="H224" i="10" s="1"/>
  <c r="E222" i="10" l="1" a="1"/>
  <c r="E222" i="10" s="1"/>
  <c r="F222" i="10" s="1"/>
  <c r="G222" i="10" s="1"/>
  <c r="I222" i="10" s="1"/>
  <c r="B225" i="10"/>
  <c r="C224" i="10"/>
  <c r="F223" i="10"/>
  <c r="G223" i="10" s="1"/>
  <c r="I223" i="10" s="1"/>
  <c r="E225" i="10" l="1" a="1"/>
  <c r="E225" i="10" s="1"/>
  <c r="E224" i="10" s="1" a="1"/>
  <c r="E224" i="10" s="1"/>
  <c r="H225" i="10"/>
  <c r="C225" i="10"/>
  <c r="B226" i="10"/>
  <c r="H226" i="10" l="1"/>
  <c r="B227" i="10"/>
  <c r="C226" i="10"/>
  <c r="F225" i="10"/>
  <c r="G225" i="10" s="1"/>
  <c r="I225" i="10" s="1"/>
  <c r="F224" i="10"/>
  <c r="G224" i="10" s="1"/>
  <c r="I224" i="10" s="1"/>
  <c r="H227" i="10" l="1"/>
  <c r="E227" i="10" a="1"/>
  <c r="E227" i="10" s="1"/>
  <c r="E226" i="10" s="1" a="1"/>
  <c r="E226" i="10" s="1"/>
  <c r="C227" i="10"/>
  <c r="B228" i="10"/>
  <c r="H228" i="10" l="1"/>
  <c r="B229" i="10"/>
  <c r="C228" i="10"/>
  <c r="F227" i="10"/>
  <c r="G227" i="10" s="1"/>
  <c r="I227" i="10" s="1"/>
  <c r="F226" i="10"/>
  <c r="G226" i="10" s="1"/>
  <c r="I226" i="10" s="1"/>
  <c r="E229" i="10" l="1" a="1"/>
  <c r="E229" i="10" s="1"/>
  <c r="E228" i="10" s="1" a="1"/>
  <c r="E228" i="10" s="1"/>
  <c r="H229" i="10"/>
  <c r="C229" i="10"/>
  <c r="B230" i="10"/>
  <c r="H230" i="10" l="1"/>
  <c r="B231" i="10"/>
  <c r="C230" i="10"/>
  <c r="F229" i="10"/>
  <c r="G229" i="10" s="1"/>
  <c r="I229" i="10" s="1"/>
  <c r="F228" i="10"/>
  <c r="G228" i="10" s="1"/>
  <c r="I228" i="10" s="1"/>
  <c r="E231" i="10" l="1" a="1"/>
  <c r="E231" i="10" s="1"/>
  <c r="E230" i="10" s="1" a="1"/>
  <c r="E230" i="10" s="1"/>
  <c r="H231" i="10"/>
  <c r="B232" i="10"/>
  <c r="C231" i="10"/>
  <c r="H232" i="10" l="1"/>
  <c r="C232" i="10"/>
  <c r="B233" i="10"/>
  <c r="F231" i="10"/>
  <c r="G231" i="10" s="1"/>
  <c r="I231" i="10" s="1"/>
  <c r="F230" i="10"/>
  <c r="G230" i="10" s="1"/>
  <c r="I230" i="10" s="1"/>
  <c r="E233" i="10" l="1" a="1"/>
  <c r="E233" i="10" s="1"/>
  <c r="E232" i="10" s="1" a="1"/>
  <c r="E232" i="10" s="1"/>
  <c r="H233" i="10"/>
  <c r="C233" i="10"/>
  <c r="B234" i="10"/>
  <c r="H234" i="10" l="1"/>
  <c r="F233" i="10"/>
  <c r="G233" i="10" s="1"/>
  <c r="I233" i="10" s="1"/>
  <c r="F232" i="10"/>
  <c r="G232" i="10" s="1"/>
  <c r="I232" i="10" s="1"/>
  <c r="C234" i="10"/>
  <c r="B235" i="10"/>
  <c r="H235" i="10" l="1"/>
  <c r="E235" i="10" a="1"/>
  <c r="E235" i="10" s="1"/>
  <c r="E234" i="10" s="1" a="1"/>
  <c r="E234" i="10" s="1"/>
  <c r="C235" i="10"/>
  <c r="B236" i="10"/>
  <c r="H236" i="10" l="1"/>
  <c r="F235" i="10"/>
  <c r="G235" i="10" s="1"/>
  <c r="I235" i="10" s="1"/>
  <c r="F234" i="10"/>
  <c r="G234" i="10" s="1"/>
  <c r="I234" i="10" s="1"/>
  <c r="B237" i="10"/>
  <c r="C236" i="10"/>
  <c r="E237" i="10" l="1" a="1"/>
  <c r="E237" i="10" s="1"/>
  <c r="E236" i="10" s="1" a="1"/>
  <c r="E236" i="10" s="1"/>
  <c r="H237" i="10"/>
  <c r="C237" i="10"/>
  <c r="B238" i="10"/>
  <c r="H238" i="10" l="1"/>
  <c r="F237" i="10"/>
  <c r="G237" i="10" s="1"/>
  <c r="I237" i="10" s="1"/>
  <c r="F236" i="10"/>
  <c r="G236" i="10" s="1"/>
  <c r="I236" i="10" s="1"/>
  <c r="B239" i="10"/>
  <c r="C238" i="10"/>
  <c r="E239" i="10" l="1" a="1"/>
  <c r="E239" i="10" s="1"/>
  <c r="E238" i="10" s="1" a="1"/>
  <c r="E238" i="10" s="1"/>
  <c r="H239" i="10"/>
  <c r="C239" i="10"/>
  <c r="B240" i="10"/>
  <c r="H240" i="10" l="1"/>
  <c r="B241" i="10"/>
  <c r="C240" i="10"/>
  <c r="F239" i="10"/>
  <c r="G239" i="10" s="1"/>
  <c r="I239" i="10" s="1"/>
  <c r="F238" i="10"/>
  <c r="G238" i="10" s="1"/>
  <c r="I238" i="10" s="1"/>
  <c r="E241" i="10" l="1" a="1"/>
  <c r="E241" i="10" s="1"/>
  <c r="E240" i="10" s="1" a="1"/>
  <c r="E240" i="10" s="1"/>
  <c r="H241" i="10"/>
  <c r="C241" i="10"/>
  <c r="B242" i="10"/>
  <c r="H242" i="10" l="1"/>
  <c r="F241" i="10"/>
  <c r="G241" i="10" s="1"/>
  <c r="I241" i="10" s="1"/>
  <c r="F240" i="10"/>
  <c r="G240" i="10" s="1"/>
  <c r="I240" i="10" s="1"/>
  <c r="B243" i="10"/>
  <c r="C242" i="10"/>
  <c r="H243" i="10" l="1"/>
  <c r="E243" i="10" a="1"/>
  <c r="E243" i="10" s="1"/>
  <c r="E242" i="10" s="1" a="1"/>
  <c r="E242" i="10" s="1"/>
  <c r="C243" i="10"/>
  <c r="B244" i="10"/>
  <c r="H244" i="10" l="1"/>
  <c r="F243" i="10"/>
  <c r="G243" i="10" s="1"/>
  <c r="I243" i="10" s="1"/>
  <c r="F242" i="10"/>
  <c r="G242" i="10" s="1"/>
  <c r="I242" i="10" s="1"/>
  <c r="B245" i="10"/>
  <c r="C244" i="10"/>
  <c r="H245" i="10" l="1"/>
  <c r="E245" i="10" a="1"/>
  <c r="E245" i="10" s="1"/>
  <c r="E244" i="10" s="1" a="1"/>
  <c r="E244" i="10" s="1"/>
  <c r="C245" i="10"/>
  <c r="B246" i="10"/>
  <c r="H246" i="10" l="1"/>
  <c r="F245" i="10"/>
  <c r="G245" i="10" s="1"/>
  <c r="I245" i="10" s="1"/>
  <c r="F244" i="10"/>
  <c r="G244" i="10" s="1"/>
  <c r="I244" i="10" s="1"/>
  <c r="B247" i="10"/>
  <c r="C246" i="10"/>
  <c r="E247" i="10" l="1" a="1"/>
  <c r="E247" i="10" s="1"/>
  <c r="E246" i="10" s="1" a="1"/>
  <c r="E246" i="10" s="1"/>
  <c r="H247" i="10"/>
  <c r="C247" i="10"/>
  <c r="B248" i="10"/>
  <c r="H248" i="10" l="1"/>
  <c r="F247" i="10"/>
  <c r="G247" i="10" s="1"/>
  <c r="I247" i="10" s="1"/>
  <c r="F246" i="10"/>
  <c r="G246" i="10" s="1"/>
  <c r="I246" i="10" s="1"/>
  <c r="C248" i="10"/>
  <c r="B249" i="10"/>
  <c r="H249" i="10" l="1"/>
  <c r="E249" i="10" a="1"/>
  <c r="E249" i="10" s="1"/>
  <c r="E248" i="10" s="1" a="1"/>
  <c r="E248" i="10" s="1"/>
  <c r="C249" i="10"/>
  <c r="B250" i="10"/>
  <c r="H250" i="10" l="1"/>
  <c r="F249" i="10"/>
  <c r="G249" i="10" s="1"/>
  <c r="I249" i="10" s="1"/>
  <c r="F248" i="10"/>
  <c r="G248" i="10" s="1"/>
  <c r="I248" i="10" s="1"/>
  <c r="C250" i="10"/>
  <c r="B251" i="10"/>
  <c r="H251" i="10" l="1"/>
  <c r="E251" i="10" a="1"/>
  <c r="E251" i="10" s="1"/>
  <c r="E250" i="10" s="1" a="1"/>
  <c r="E250" i="10" s="1"/>
  <c r="C251" i="10"/>
  <c r="B252" i="10"/>
  <c r="H252" i="10" l="1"/>
  <c r="F251" i="10"/>
  <c r="G251" i="10" s="1"/>
  <c r="I251" i="10" s="1"/>
  <c r="F250" i="10"/>
  <c r="G250" i="10" s="1"/>
  <c r="I250" i="10" s="1"/>
  <c r="B253" i="10"/>
  <c r="C252" i="10"/>
  <c r="E253" i="10" l="1" a="1"/>
  <c r="E253" i="10" s="1"/>
  <c r="E252" i="10" s="1" a="1"/>
  <c r="E252" i="10" s="1"/>
  <c r="H253" i="10"/>
  <c r="C253" i="10"/>
  <c r="B254" i="10"/>
  <c r="H254" i="10" l="1"/>
  <c r="F253" i="10"/>
  <c r="G253" i="10" s="1"/>
  <c r="I253" i="10" s="1"/>
  <c r="F252" i="10"/>
  <c r="G252" i="10" s="1"/>
  <c r="I252" i="10" s="1"/>
  <c r="B255" i="10"/>
  <c r="C254" i="10"/>
  <c r="E255" i="10" l="1" a="1"/>
  <c r="E255" i="10" s="1"/>
  <c r="E254" i="10" s="1" a="1"/>
  <c r="E254" i="10" s="1"/>
  <c r="H255" i="10"/>
  <c r="C255" i="10"/>
  <c r="B256" i="10"/>
  <c r="H256" i="10" l="1"/>
  <c r="F255" i="10"/>
  <c r="G255" i="10" s="1"/>
  <c r="I255" i="10" s="1"/>
  <c r="F254" i="10"/>
  <c r="G254" i="10" s="1"/>
  <c r="I254" i="10" s="1"/>
  <c r="B257" i="10"/>
  <c r="C256" i="10"/>
  <c r="H257" i="10" l="1"/>
  <c r="E257" i="10" a="1"/>
  <c r="E257" i="10" s="1"/>
  <c r="E256" i="10" s="1" a="1"/>
  <c r="E256" i="10" s="1"/>
  <c r="C257" i="10"/>
  <c r="B258" i="10"/>
  <c r="H258" i="10" l="1"/>
  <c r="F257" i="10"/>
  <c r="G257" i="10" s="1"/>
  <c r="I257" i="10" s="1"/>
  <c r="F256" i="10"/>
  <c r="G256" i="10" s="1"/>
  <c r="I256" i="10" s="1"/>
  <c r="B259" i="10"/>
  <c r="C258" i="10"/>
  <c r="H259" i="10" l="1"/>
  <c r="E259" i="10" a="1"/>
  <c r="E259" i="10" s="1"/>
  <c r="E258" i="10" s="1" a="1"/>
  <c r="E258" i="10" s="1"/>
  <c r="C259" i="10"/>
  <c r="B260" i="10"/>
  <c r="H260" i="10" l="1"/>
  <c r="F259" i="10"/>
  <c r="G259" i="10" s="1"/>
  <c r="I259" i="10" s="1"/>
  <c r="F258" i="10"/>
  <c r="G258" i="10" s="1"/>
  <c r="I258" i="10" s="1"/>
  <c r="B261" i="10"/>
  <c r="C260" i="10"/>
  <c r="E261" i="10" l="1" a="1"/>
  <c r="E261" i="10" s="1"/>
  <c r="E260" i="10" s="1" a="1"/>
  <c r="E260" i="10" s="1"/>
  <c r="H261" i="10"/>
  <c r="C261" i="10"/>
  <c r="B262" i="10"/>
  <c r="H262" i="10" l="1"/>
  <c r="F261" i="10"/>
  <c r="G261" i="10" s="1"/>
  <c r="I261" i="10" s="1"/>
  <c r="F260" i="10"/>
  <c r="G260" i="10" s="1"/>
  <c r="I260" i="10" s="1"/>
  <c r="B263" i="10"/>
  <c r="C262" i="10"/>
  <c r="E263" i="10" l="1" a="1"/>
  <c r="E263" i="10" s="1"/>
  <c r="E262" i="10" s="1" a="1"/>
  <c r="E262" i="10" s="1"/>
  <c r="H263" i="10"/>
  <c r="C263" i="10"/>
  <c r="B264" i="10"/>
  <c r="H264" i="10" l="1"/>
  <c r="F263" i="10"/>
  <c r="G263" i="10" s="1"/>
  <c r="I263" i="10" s="1"/>
  <c r="F262" i="10"/>
  <c r="G262" i="10" s="1"/>
  <c r="I262" i="10" s="1"/>
  <c r="C264" i="10"/>
  <c r="B265" i="10"/>
  <c r="E265" i="10" l="1" a="1"/>
  <c r="E265" i="10" s="1"/>
  <c r="E264" i="10" s="1" a="1"/>
  <c r="E264" i="10" s="1"/>
  <c r="H265" i="10"/>
  <c r="C265" i="10"/>
  <c r="B266" i="10"/>
  <c r="H266" i="10" l="1"/>
  <c r="F265" i="10"/>
  <c r="G265" i="10" s="1"/>
  <c r="I265" i="10" s="1"/>
  <c r="F264" i="10"/>
  <c r="G264" i="10" s="1"/>
  <c r="I264" i="10" s="1"/>
  <c r="C266" i="10"/>
  <c r="B267" i="10"/>
  <c r="H267" i="10" l="1"/>
  <c r="E267" i="10" a="1"/>
  <c r="E267" i="10" s="1"/>
  <c r="E266" i="10" s="1" a="1"/>
  <c r="E266" i="10" s="1"/>
  <c r="C267" i="10"/>
  <c r="B268" i="10"/>
  <c r="H268" i="10" l="1"/>
  <c r="F267" i="10"/>
  <c r="G267" i="10" s="1"/>
  <c r="I267" i="10" s="1"/>
  <c r="F266" i="10"/>
  <c r="G266" i="10" s="1"/>
  <c r="I266" i="10" s="1"/>
  <c r="B269" i="10"/>
  <c r="C268" i="10"/>
  <c r="H269" i="10" l="1"/>
  <c r="E269" i="10" a="1"/>
  <c r="E269" i="10" s="1"/>
  <c r="E268" i="10" s="1" a="1"/>
  <c r="E268" i="10" s="1"/>
  <c r="C269" i="10"/>
  <c r="B270" i="10"/>
  <c r="H270" i="10" l="1"/>
  <c r="B271" i="10"/>
  <c r="C270" i="10"/>
  <c r="F269" i="10"/>
  <c r="G269" i="10" s="1"/>
  <c r="I269" i="10" s="1"/>
  <c r="F268" i="10"/>
  <c r="G268" i="10" s="1"/>
  <c r="I268" i="10" s="1"/>
  <c r="E271" i="10" l="1" a="1"/>
  <c r="E271" i="10" s="1"/>
  <c r="E270" i="10" s="1" a="1"/>
  <c r="E270" i="10" s="1"/>
  <c r="H271" i="10"/>
  <c r="C271" i="10"/>
  <c r="B272" i="10"/>
  <c r="H272" i="10" l="1"/>
  <c r="F271" i="10"/>
  <c r="G271" i="10" s="1"/>
  <c r="I271" i="10" s="1"/>
  <c r="F270" i="10"/>
  <c r="G270" i="10" s="1"/>
  <c r="I270" i="10" s="1"/>
  <c r="B273" i="10"/>
  <c r="C272" i="10"/>
  <c r="E273" i="10" l="1" a="1"/>
  <c r="E273" i="10" s="1"/>
  <c r="E272" i="10" s="1" a="1"/>
  <c r="E272" i="10" s="1"/>
  <c r="H273" i="10"/>
  <c r="C273" i="10"/>
  <c r="F273" i="10" l="1"/>
  <c r="G273" i="10" s="1"/>
  <c r="I273" i="10" s="1"/>
  <c r="F272" i="10"/>
  <c r="G272" i="10" s="1"/>
  <c r="I272" i="10" s="1"/>
  <c r="L62" i="9" l="1"/>
  <c r="N23" i="9"/>
  <c r="N22" i="9"/>
  <c r="N21" i="9"/>
  <c r="N20" i="9"/>
  <c r="N19" i="9"/>
  <c r="N17" i="9"/>
  <c r="N16" i="9"/>
  <c r="N15" i="9"/>
  <c r="N49" i="9" l="1"/>
  <c r="B34" i="7"/>
  <c r="B35" i="7" s="1"/>
  <c r="N64" i="9" l="1"/>
  <c r="I64" i="9"/>
  <c r="F87" i="9"/>
  <c r="M50" i="9"/>
  <c r="I87" i="9"/>
  <c r="B36" i="7"/>
  <c r="I67" i="9" l="1"/>
  <c r="I68" i="9" s="1"/>
  <c r="K68" i="9" s="1"/>
  <c r="I10" i="7"/>
  <c r="I9" i="7"/>
  <c r="H10" i="7"/>
  <c r="H9" i="7"/>
  <c r="I14" i="7" s="1" a="1"/>
  <c r="I14" i="7" s="1"/>
  <c r="J9" i="7"/>
  <c r="J53" i="6"/>
  <c r="B37" i="7"/>
  <c r="N7" i="4"/>
  <c r="M7" i="4"/>
  <c r="L7" i="4"/>
  <c r="K7" i="4"/>
  <c r="N6" i="4"/>
  <c r="M6" i="4"/>
  <c r="L6" i="4"/>
  <c r="K6" i="4"/>
  <c r="N5" i="4"/>
  <c r="M5" i="4"/>
  <c r="L5" i="4"/>
  <c r="K5" i="4"/>
  <c r="N4" i="4"/>
  <c r="M4" i="4"/>
  <c r="L4" i="4"/>
  <c r="K4" i="4"/>
  <c r="J7" i="4"/>
  <c r="I7" i="4"/>
  <c r="H7" i="4"/>
  <c r="G7" i="4"/>
  <c r="J6" i="4"/>
  <c r="I6" i="4"/>
  <c r="H6" i="4"/>
  <c r="G6" i="4"/>
  <c r="J5" i="4"/>
  <c r="I5" i="4"/>
  <c r="H5" i="4"/>
  <c r="G5" i="4"/>
  <c r="J4" i="4"/>
  <c r="I4" i="4"/>
  <c r="H4" i="4"/>
  <c r="G4" i="4"/>
  <c r="F7" i="4"/>
  <c r="E41" i="10" s="1" a="1"/>
  <c r="E41" i="10" s="1"/>
  <c r="E42" i="10" s="1" a="1"/>
  <c r="E42" i="10" s="1"/>
  <c r="E7" i="4"/>
  <c r="D7" i="4"/>
  <c r="F6" i="4"/>
  <c r="E39" i="10" s="1" a="1"/>
  <c r="E39" i="10" s="1"/>
  <c r="E6" i="4"/>
  <c r="D6" i="4"/>
  <c r="F5" i="4"/>
  <c r="E37" i="10" s="1" a="1"/>
  <c r="E37" i="10" s="1"/>
  <c r="E5" i="4"/>
  <c r="D5" i="4"/>
  <c r="F4" i="4"/>
  <c r="E35" i="10" s="1" a="1"/>
  <c r="E35" i="10" s="1"/>
  <c r="E4" i="4"/>
  <c r="D4" i="4"/>
  <c r="C7" i="4"/>
  <c r="C6" i="4"/>
  <c r="C5" i="4"/>
  <c r="C4" i="4"/>
  <c r="E35" i="7" l="1" a="1"/>
  <c r="E35" i="7" s="1"/>
  <c r="J18" i="7" a="1"/>
  <c r="J18" i="7" s="1"/>
  <c r="E40" i="10" a="1"/>
  <c r="E40" i="10" s="1"/>
  <c r="E36" i="10" a="1"/>
  <c r="E36" i="10" s="1"/>
  <c r="E38" i="10" a="1"/>
  <c r="E38" i="10" s="1"/>
  <c r="E37" i="7" a="1"/>
  <c r="E37" i="7" s="1"/>
  <c r="B38" i="7"/>
  <c r="N20" i="6"/>
  <c r="C33" i="7"/>
  <c r="E36" i="7" l="1" a="1"/>
  <c r="E36" i="7" s="1"/>
  <c r="F41" i="10"/>
  <c r="G41" i="10" s="1"/>
  <c r="I41" i="10" s="1"/>
  <c r="F42" i="10"/>
  <c r="G42" i="10" s="1"/>
  <c r="I42" i="10" s="1"/>
  <c r="F39" i="10"/>
  <c r="G39" i="10" s="1"/>
  <c r="I39" i="10" s="1"/>
  <c r="F40" i="10"/>
  <c r="G40" i="10" s="1"/>
  <c r="I40" i="10" s="1"/>
  <c r="E34" i="10"/>
  <c r="F34" i="10" s="1"/>
  <c r="G34" i="10" s="1"/>
  <c r="I34" i="10" s="1"/>
  <c r="F36" i="10"/>
  <c r="G36" i="10" s="1"/>
  <c r="I36" i="10" s="1"/>
  <c r="F35" i="10"/>
  <c r="G35" i="10" s="1"/>
  <c r="I35" i="10" s="1"/>
  <c r="F37" i="10"/>
  <c r="G37" i="10" s="1"/>
  <c r="I37" i="10" s="1"/>
  <c r="F38" i="10"/>
  <c r="G38" i="10" s="1"/>
  <c r="I38" i="10" s="1"/>
  <c r="B39" i="7"/>
  <c r="E39" i="7" s="1" a="1"/>
  <c r="E39" i="7" s="1"/>
  <c r="E38" i="7" s="1" a="1"/>
  <c r="E38" i="7" s="1"/>
  <c r="H14" i="7"/>
  <c r="C34" i="7"/>
  <c r="C36" i="7"/>
  <c r="C35" i="7"/>
  <c r="I30" i="10" l="1"/>
  <c r="G30" i="10" s="1"/>
  <c r="B30" i="10" s="1"/>
  <c r="B40" i="7"/>
  <c r="C37" i="7"/>
  <c r="L55" i="11" l="1"/>
  <c r="F30" i="10"/>
  <c r="L58" i="11" s="1"/>
  <c r="E30" i="10"/>
  <c r="L56" i="11" s="1"/>
  <c r="L60" i="6"/>
  <c r="E34" i="7"/>
  <c r="B41" i="7"/>
  <c r="E41" i="7" s="1" a="1"/>
  <c r="E41" i="7" s="1"/>
  <c r="E40" i="7" s="1" a="1"/>
  <c r="E40" i="7" s="1"/>
  <c r="C38" i="7"/>
  <c r="F62" i="11" l="1"/>
  <c r="N58" i="11"/>
  <c r="B42" i="7"/>
  <c r="C39" i="7"/>
  <c r="D71" i="11" l="1"/>
  <c r="D69" i="11"/>
  <c r="D68" i="11"/>
  <c r="F63" i="11"/>
  <c r="B43" i="7"/>
  <c r="C40" i="7"/>
  <c r="E43" i="7" l="1" a="1"/>
  <c r="E43" i="7" s="1"/>
  <c r="E42" i="7" s="1" a="1"/>
  <c r="E42" i="7" s="1"/>
  <c r="I15" i="7" a="1"/>
  <c r="I15" i="7" s="1"/>
  <c r="B44" i="7"/>
  <c r="C41" i="7"/>
  <c r="B45" i="7" l="1"/>
  <c r="E45" i="7" s="1" a="1"/>
  <c r="E45" i="7" s="1"/>
  <c r="E44" i="7" s="1" a="1"/>
  <c r="E44" i="7" s="1"/>
  <c r="C42" i="7"/>
  <c r="B46" i="7" l="1"/>
  <c r="C43" i="7"/>
  <c r="B47" i="7" l="1"/>
  <c r="E47" i="7" s="1" a="1"/>
  <c r="E47" i="7" s="1"/>
  <c r="E46" i="7" s="1" a="1"/>
  <c r="E46" i="7" s="1"/>
  <c r="C44" i="7"/>
  <c r="B48" i="7" l="1"/>
  <c r="C45" i="7"/>
  <c r="B49" i="7" l="1"/>
  <c r="E49" i="7" s="1" a="1"/>
  <c r="E49" i="7" s="1"/>
  <c r="E48" i="7" s="1" a="1"/>
  <c r="E48" i="7" s="1"/>
  <c r="C46" i="7"/>
  <c r="B50" i="7" l="1"/>
  <c r="C47" i="7"/>
  <c r="B51" i="7" l="1"/>
  <c r="E51" i="7" s="1" a="1"/>
  <c r="E51" i="7" s="1"/>
  <c r="E50" i="7" s="1" a="1"/>
  <c r="E50" i="7" s="1"/>
  <c r="C48" i="7"/>
  <c r="B52" i="7" l="1"/>
  <c r="C49" i="7"/>
  <c r="B53" i="7" l="1"/>
  <c r="E53" i="7" s="1" a="1"/>
  <c r="E53" i="7" s="1"/>
  <c r="E52" i="7" s="1" a="1"/>
  <c r="E52" i="7" s="1"/>
  <c r="C50" i="7"/>
  <c r="B54" i="7" l="1"/>
  <c r="C51" i="7"/>
  <c r="B55" i="7" l="1"/>
  <c r="E55" i="7" s="1" a="1"/>
  <c r="E55" i="7" s="1"/>
  <c r="E54" i="7" s="1" a="1"/>
  <c r="E54" i="7" s="1"/>
  <c r="C52" i="7"/>
  <c r="B56" i="7" l="1"/>
  <c r="C53" i="7"/>
  <c r="B57" i="7" l="1"/>
  <c r="E57" i="7" s="1" a="1"/>
  <c r="E57" i="7" s="1"/>
  <c r="E56" i="7" s="1" a="1"/>
  <c r="E56" i="7" s="1"/>
  <c r="C54" i="7"/>
  <c r="B58" i="7" l="1"/>
  <c r="C55" i="7"/>
  <c r="B59" i="7" l="1"/>
  <c r="E59" i="7" s="1" a="1"/>
  <c r="E59" i="7" s="1"/>
  <c r="E58" i="7" s="1" a="1"/>
  <c r="E58" i="7" s="1"/>
  <c r="C56" i="7"/>
  <c r="B60" i="7" l="1"/>
  <c r="C57" i="7"/>
  <c r="C58" i="7" l="1"/>
  <c r="C59" i="7" l="1"/>
  <c r="C60" i="7" l="1"/>
  <c r="B61" i="7"/>
  <c r="E61" i="7" s="1" a="1"/>
  <c r="E61" i="7" s="1"/>
  <c r="E60" i="7" s="1" a="1"/>
  <c r="E60" i="7" s="1"/>
  <c r="C61" i="7" l="1"/>
  <c r="B62" i="7"/>
  <c r="B63" i="7" l="1"/>
  <c r="E63" i="7" s="1" a="1"/>
  <c r="E63" i="7" s="1"/>
  <c r="E62" i="7" s="1" a="1"/>
  <c r="E62" i="7" s="1"/>
  <c r="C62" i="7"/>
  <c r="C63" i="7" l="1"/>
  <c r="B64" i="7"/>
  <c r="B65" i="7" l="1"/>
  <c r="E65" i="7" s="1" a="1"/>
  <c r="E65" i="7" s="1"/>
  <c r="E64" i="7" s="1" a="1"/>
  <c r="E64" i="7" s="1"/>
  <c r="B66" i="7" l="1"/>
  <c r="B67" i="7" l="1"/>
  <c r="E67" i="7" s="1" a="1"/>
  <c r="E67" i="7" s="1"/>
  <c r="E66" i="7" s="1" a="1"/>
  <c r="E66" i="7" s="1"/>
  <c r="B68" i="7" l="1"/>
  <c r="C67" i="7"/>
  <c r="B69" i="7" l="1"/>
  <c r="E69" i="7" s="1" a="1"/>
  <c r="E69" i="7" s="1"/>
  <c r="E68" i="7" s="1" a="1"/>
  <c r="E68" i="7" s="1"/>
  <c r="B70" i="7" l="1"/>
  <c r="B71" i="7" l="1"/>
  <c r="E71" i="7" s="1" a="1"/>
  <c r="E71" i="7" s="1"/>
  <c r="E70" i="7" s="1" a="1"/>
  <c r="E70" i="7" s="1"/>
  <c r="B72" i="7" l="1"/>
  <c r="C72" i="7" l="1"/>
  <c r="B73" i="7"/>
  <c r="E73" i="7" s="1" a="1"/>
  <c r="E73" i="7" s="1"/>
  <c r="E72" i="7" s="1" a="1"/>
  <c r="E72" i="7" s="1"/>
  <c r="B74" i="7" l="1"/>
  <c r="B75" i="7" l="1"/>
  <c r="E75" i="7" s="1" a="1"/>
  <c r="E75" i="7" s="1"/>
  <c r="E74" i="7" s="1" a="1"/>
  <c r="E74" i="7" s="1"/>
  <c r="B76" i="7" l="1"/>
  <c r="C76" i="7" l="1"/>
  <c r="B77" i="7"/>
  <c r="E77" i="7" s="1" a="1"/>
  <c r="E77" i="7" s="1"/>
  <c r="E76" i="7" l="1" a="1"/>
  <c r="E76" i="7" s="1"/>
  <c r="C77" i="7"/>
  <c r="B78" i="7"/>
  <c r="B79" i="7" l="1"/>
  <c r="E79" i="7" s="1" a="1"/>
  <c r="E79" i="7" s="1"/>
  <c r="E78" i="7" s="1" a="1"/>
  <c r="E78" i="7" s="1"/>
  <c r="C78" i="7"/>
  <c r="C79" i="7" l="1"/>
  <c r="B80" i="7"/>
  <c r="C80" i="7" l="1"/>
  <c r="B81" i="7"/>
  <c r="E81" i="7" s="1" a="1"/>
  <c r="E81" i="7" s="1"/>
  <c r="E80" i="7" s="1" a="1"/>
  <c r="E80" i="7" s="1"/>
  <c r="C81" i="7" l="1"/>
  <c r="B82" i="7"/>
  <c r="C82" i="7" l="1"/>
  <c r="B83" i="7"/>
  <c r="E83" i="7" s="1" a="1"/>
  <c r="E83" i="7" s="1"/>
  <c r="E82" i="7" s="1" a="1"/>
  <c r="E82" i="7" s="1"/>
  <c r="B84" i="7" l="1"/>
  <c r="C83" i="7"/>
  <c r="B85" i="7" l="1"/>
  <c r="E85" i="7" s="1" a="1"/>
  <c r="E85" i="7" s="1"/>
  <c r="E84" i="7" s="1" a="1"/>
  <c r="E84" i="7" s="1"/>
  <c r="C84" i="7"/>
  <c r="C85" i="7" l="1"/>
  <c r="B86" i="7"/>
  <c r="C86" i="7" l="1"/>
  <c r="B87" i="7"/>
  <c r="E87" i="7" s="1" a="1"/>
  <c r="E87" i="7" s="1"/>
  <c r="E86" i="7" s="1" a="1"/>
  <c r="E86" i="7" s="1"/>
  <c r="B88" i="7" l="1"/>
  <c r="C87" i="7"/>
  <c r="B89" i="7" l="1"/>
  <c r="E89" i="7" s="1" a="1"/>
  <c r="E89" i="7" s="1"/>
  <c r="E88" i="7" s="1" a="1"/>
  <c r="E88" i="7" s="1"/>
  <c r="C88" i="7"/>
  <c r="C89" i="7" l="1"/>
  <c r="B90" i="7"/>
  <c r="C90" i="7" l="1"/>
  <c r="B91" i="7"/>
  <c r="E91" i="7" s="1" a="1"/>
  <c r="E91" i="7" s="1"/>
  <c r="E90" i="7" s="1" a="1"/>
  <c r="E90" i="7" s="1"/>
  <c r="C91" i="7" l="1"/>
  <c r="B92" i="7"/>
  <c r="B93" i="7" l="1"/>
  <c r="E93" i="7" s="1" a="1"/>
  <c r="E93" i="7" s="1"/>
  <c r="E92" i="7" s="1" a="1"/>
  <c r="E92" i="7" s="1"/>
  <c r="C92" i="7"/>
  <c r="B94" i="7" l="1"/>
  <c r="C93" i="7"/>
  <c r="C94" i="7" l="1"/>
  <c r="B95" i="7"/>
  <c r="E95" i="7" s="1" a="1"/>
  <c r="E95" i="7" s="1"/>
  <c r="E94" i="7" s="1" a="1"/>
  <c r="E94" i="7" s="1"/>
  <c r="B96" i="7" l="1"/>
  <c r="C95" i="7"/>
  <c r="B97" i="7" l="1"/>
  <c r="E97" i="7" s="1" a="1"/>
  <c r="E97" i="7" s="1"/>
  <c r="E96" i="7" s="1" a="1"/>
  <c r="E96" i="7" s="1"/>
  <c r="C96" i="7"/>
  <c r="C97" i="7" l="1"/>
  <c r="B98" i="7"/>
  <c r="C98" i="7" l="1"/>
  <c r="B99" i="7"/>
  <c r="E99" i="7" s="1" a="1"/>
  <c r="E99" i="7" s="1"/>
  <c r="E98" i="7" s="1" a="1"/>
  <c r="E98" i="7" s="1"/>
  <c r="B100" i="7" l="1"/>
  <c r="C99" i="7"/>
  <c r="C100" i="7" l="1"/>
  <c r="B101" i="7"/>
  <c r="E101" i="7" s="1" a="1"/>
  <c r="E101" i="7" s="1"/>
  <c r="E100" i="7" s="1" a="1"/>
  <c r="E100" i="7" s="1"/>
  <c r="C101" i="7" l="1"/>
  <c r="B102" i="7"/>
  <c r="C102" i="7" l="1"/>
  <c r="B103" i="7"/>
  <c r="E103" i="7" s="1" a="1"/>
  <c r="E103" i="7" s="1"/>
  <c r="E102" i="7" s="1" a="1"/>
  <c r="E102" i="7" s="1"/>
  <c r="B104" i="7" l="1"/>
  <c r="C103" i="7"/>
  <c r="B105" i="7" l="1"/>
  <c r="E105" i="7" s="1" a="1"/>
  <c r="E105" i="7" s="1"/>
  <c r="E104" i="7" s="1" a="1"/>
  <c r="E104" i="7" s="1"/>
  <c r="C104" i="7"/>
  <c r="C105" i="7" l="1"/>
  <c r="B106" i="7"/>
  <c r="C106" i="7" l="1"/>
  <c r="B107" i="7"/>
  <c r="E107" i="7" s="1" a="1"/>
  <c r="E107" i="7" s="1"/>
  <c r="E106" i="7" s="1" a="1"/>
  <c r="E106" i="7" s="1"/>
  <c r="B108" i="7" l="1"/>
  <c r="C107" i="7"/>
  <c r="B109" i="7" l="1"/>
  <c r="E109" i="7" s="1" a="1"/>
  <c r="E109" i="7" s="1"/>
  <c r="E108" i="7" s="1" a="1"/>
  <c r="E108" i="7" s="1"/>
  <c r="C108" i="7"/>
  <c r="C109" i="7" l="1"/>
  <c r="B110" i="7"/>
  <c r="C110" i="7" l="1"/>
  <c r="B111" i="7"/>
  <c r="E111" i="7" s="1" a="1"/>
  <c r="E111" i="7" s="1"/>
  <c r="E110" i="7" s="1" a="1"/>
  <c r="E110" i="7" s="1"/>
  <c r="B112" i="7" l="1"/>
  <c r="C111" i="7"/>
  <c r="B113" i="7" l="1"/>
  <c r="E113" i="7" s="1" a="1"/>
  <c r="E113" i="7" s="1"/>
  <c r="C112" i="7"/>
  <c r="E112" i="7" l="1" a="1"/>
  <c r="E112" i="7" s="1"/>
  <c r="C113" i="7"/>
  <c r="B114" i="7"/>
  <c r="C114" i="7" l="1"/>
  <c r="B115" i="7"/>
  <c r="E115" i="7" s="1" a="1"/>
  <c r="E115" i="7" s="1"/>
  <c r="E114" i="7" s="1" a="1"/>
  <c r="E114" i="7" s="1"/>
  <c r="B116" i="7" l="1"/>
  <c r="C115" i="7"/>
  <c r="B117" i="7" l="1"/>
  <c r="E117" i="7" s="1" a="1"/>
  <c r="E117" i="7" s="1"/>
  <c r="E116" i="7" s="1" a="1"/>
  <c r="E116" i="7" s="1"/>
  <c r="C116" i="7"/>
  <c r="C117" i="7" l="1"/>
  <c r="B118" i="7"/>
  <c r="C118" i="7" l="1"/>
  <c r="B119" i="7"/>
  <c r="E119" i="7" s="1" a="1"/>
  <c r="E119" i="7" s="1"/>
  <c r="E118" i="7" s="1" a="1"/>
  <c r="E118" i="7" s="1"/>
  <c r="B120" i="7" l="1"/>
  <c r="C119" i="7"/>
  <c r="B121" i="7" l="1"/>
  <c r="E121" i="7" s="1" a="1"/>
  <c r="E121" i="7" s="1"/>
  <c r="E120" i="7" s="1" a="1"/>
  <c r="E120" i="7" s="1"/>
  <c r="C120" i="7"/>
  <c r="C121" i="7" l="1"/>
  <c r="B122" i="7"/>
  <c r="C122" i="7" l="1"/>
  <c r="B123" i="7"/>
  <c r="E123" i="7" s="1" a="1"/>
  <c r="E123" i="7" s="1"/>
  <c r="E122" i="7" s="1" a="1"/>
  <c r="E122" i="7" s="1"/>
  <c r="B124" i="7" l="1"/>
  <c r="C123" i="7"/>
  <c r="B125" i="7" l="1"/>
  <c r="E125" i="7" s="1" a="1"/>
  <c r="E125" i="7" s="1"/>
  <c r="E124" i="7" s="1" a="1"/>
  <c r="E124" i="7" s="1"/>
  <c r="C124" i="7"/>
  <c r="C125" i="7" l="1"/>
  <c r="B126" i="7"/>
  <c r="C126" i="7" l="1"/>
  <c r="B127" i="7"/>
  <c r="E127" i="7" s="1" a="1"/>
  <c r="E127" i="7" s="1"/>
  <c r="E126" i="7" s="1" a="1"/>
  <c r="E126" i="7" s="1"/>
  <c r="B128" i="7" l="1"/>
  <c r="C127" i="7"/>
  <c r="B129" i="7" l="1"/>
  <c r="E129" i="7" s="1" a="1"/>
  <c r="E129" i="7" s="1"/>
  <c r="E128" i="7" s="1" a="1"/>
  <c r="E128" i="7" s="1"/>
  <c r="C128" i="7"/>
  <c r="C129" i="7" l="1"/>
  <c r="B130" i="7"/>
  <c r="C130" i="7" l="1"/>
  <c r="B131" i="7"/>
  <c r="E131" i="7" s="1" a="1"/>
  <c r="E131" i="7" s="1"/>
  <c r="E130" i="7" s="1" a="1"/>
  <c r="E130" i="7" s="1"/>
  <c r="B132" i="7" l="1"/>
  <c r="C131" i="7"/>
  <c r="B133" i="7" l="1"/>
  <c r="E133" i="7" s="1" a="1"/>
  <c r="E133" i="7" s="1"/>
  <c r="E132" i="7" s="1" a="1"/>
  <c r="E132" i="7" s="1"/>
  <c r="C132" i="7"/>
  <c r="C133" i="7" l="1"/>
  <c r="B134" i="7"/>
  <c r="C134" i="7" l="1"/>
  <c r="B135" i="7"/>
  <c r="E135" i="7" s="1" a="1"/>
  <c r="E135" i="7" s="1"/>
  <c r="E134" i="7" s="1" a="1"/>
  <c r="E134" i="7" s="1"/>
  <c r="C135" i="7" l="1"/>
  <c r="B136" i="7"/>
  <c r="B137" i="7" l="1"/>
  <c r="E137" i="7" s="1" a="1"/>
  <c r="E137" i="7" s="1"/>
  <c r="E136" i="7" s="1" a="1"/>
  <c r="E136" i="7" s="1"/>
  <c r="C136" i="7"/>
  <c r="B138" i="7" l="1"/>
  <c r="C137" i="7"/>
  <c r="C138" i="7" l="1"/>
  <c r="B139" i="7"/>
  <c r="E139" i="7" s="1" a="1"/>
  <c r="E139" i="7" s="1"/>
  <c r="E138" i="7" s="1" a="1"/>
  <c r="E138" i="7" s="1"/>
  <c r="C139" i="7" l="1"/>
  <c r="B140" i="7"/>
  <c r="B141" i="7" l="1"/>
  <c r="E141" i="7" s="1" a="1"/>
  <c r="E141" i="7" s="1"/>
  <c r="E140" i="7" s="1" a="1"/>
  <c r="E140" i="7" s="1"/>
  <c r="C140" i="7"/>
  <c r="B142" i="7" l="1"/>
  <c r="C141" i="7"/>
  <c r="C142" i="7" l="1"/>
  <c r="B143" i="7"/>
  <c r="E143" i="7" s="1" a="1"/>
  <c r="E143" i="7" s="1"/>
  <c r="E142" i="7" s="1" a="1"/>
  <c r="E142" i="7" s="1"/>
  <c r="C143" i="7" l="1"/>
  <c r="B144" i="7"/>
  <c r="B145" i="7" l="1"/>
  <c r="E145" i="7" s="1" a="1"/>
  <c r="E145" i="7" s="1"/>
  <c r="E144" i="7" s="1" a="1"/>
  <c r="E144" i="7" s="1"/>
  <c r="C144" i="7"/>
  <c r="B146" i="7" l="1"/>
  <c r="C145" i="7"/>
  <c r="C146" i="7" l="1"/>
  <c r="B147" i="7"/>
  <c r="E147" i="7" s="1" a="1"/>
  <c r="E147" i="7" s="1"/>
  <c r="E146" i="7" s="1" a="1"/>
  <c r="E146" i="7" s="1"/>
  <c r="C147" i="7" l="1"/>
  <c r="B148" i="7"/>
  <c r="B149" i="7" l="1"/>
  <c r="E149" i="7" s="1" a="1"/>
  <c r="E149" i="7" s="1"/>
  <c r="E148" i="7" s="1" a="1"/>
  <c r="E148" i="7" s="1"/>
  <c r="C148" i="7"/>
  <c r="B150" i="7" l="1"/>
  <c r="C149" i="7"/>
  <c r="C150" i="7" l="1"/>
  <c r="B151" i="7"/>
  <c r="E151" i="7" s="1" a="1"/>
  <c r="E151" i="7" s="1"/>
  <c r="E150" i="7" s="1" a="1"/>
  <c r="E150" i="7" s="1"/>
  <c r="B152" i="7" l="1"/>
  <c r="C151" i="7"/>
  <c r="B153" i="7" l="1"/>
  <c r="E153" i="7" s="1" a="1"/>
  <c r="E153" i="7" s="1"/>
  <c r="C152" i="7"/>
  <c r="E152" i="7" l="1" a="1"/>
  <c r="E152" i="7" s="1"/>
  <c r="C153" i="7"/>
  <c r="B154" i="7"/>
  <c r="C154" i="7" l="1"/>
  <c r="B155" i="7"/>
  <c r="E155" i="7" s="1" a="1"/>
  <c r="E155" i="7" s="1"/>
  <c r="E154" i="7" s="1" a="1"/>
  <c r="E154" i="7" s="1"/>
  <c r="B156" i="7" l="1"/>
  <c r="C155" i="7"/>
  <c r="B157" i="7" l="1"/>
  <c r="E157" i="7" s="1" a="1"/>
  <c r="E157" i="7" s="1"/>
  <c r="E156" i="7" s="1" a="1"/>
  <c r="E156" i="7" s="1"/>
  <c r="C156" i="7"/>
  <c r="C157" i="7" l="1"/>
  <c r="B158" i="7"/>
  <c r="C158" i="7" l="1"/>
  <c r="B159" i="7"/>
  <c r="E159" i="7" s="1" a="1"/>
  <c r="E159" i="7" s="1"/>
  <c r="E158" i="7" s="1" a="1"/>
  <c r="E158" i="7" s="1"/>
  <c r="B160" i="7" l="1"/>
  <c r="C159" i="7"/>
  <c r="B161" i="7" l="1"/>
  <c r="E161" i="7" s="1" a="1"/>
  <c r="E161" i="7" s="1"/>
  <c r="E160" i="7" s="1" a="1"/>
  <c r="E160" i="7" s="1"/>
  <c r="C160" i="7"/>
  <c r="C161" i="7" l="1"/>
  <c r="B162" i="7"/>
  <c r="C162" i="7" l="1"/>
  <c r="B163" i="7"/>
  <c r="E163" i="7" s="1" a="1"/>
  <c r="E163" i="7" s="1"/>
  <c r="E162" i="7" s="1" a="1"/>
  <c r="E162" i="7" s="1"/>
  <c r="B164" i="7" l="1"/>
  <c r="C163" i="7"/>
  <c r="B165" i="7" l="1"/>
  <c r="E165" i="7" s="1" a="1"/>
  <c r="E165" i="7" s="1"/>
  <c r="E164" i="7" s="1" a="1"/>
  <c r="E164" i="7" s="1"/>
  <c r="C164" i="7"/>
  <c r="C165" i="7" l="1"/>
  <c r="B166" i="7"/>
  <c r="C166" i="7" l="1"/>
  <c r="B167" i="7"/>
  <c r="E167" i="7" s="1" a="1"/>
  <c r="E167" i="7" s="1"/>
  <c r="E166" i="7" s="1" a="1"/>
  <c r="E166" i="7" s="1"/>
  <c r="B168" i="7" l="1"/>
  <c r="C167" i="7"/>
  <c r="B169" i="7" l="1"/>
  <c r="E169" i="7" s="1" a="1"/>
  <c r="E169" i="7" s="1"/>
  <c r="C168" i="7"/>
  <c r="E168" i="7" l="1" a="1"/>
  <c r="E168" i="7" s="1"/>
  <c r="C169" i="7"/>
  <c r="B170" i="7"/>
  <c r="C170" i="7" l="1"/>
  <c r="B171" i="7"/>
  <c r="E171" i="7" s="1" a="1"/>
  <c r="E171" i="7" s="1"/>
  <c r="E170" i="7" s="1" a="1"/>
  <c r="E170" i="7" s="1"/>
  <c r="B172" i="7" l="1"/>
  <c r="C171" i="7"/>
  <c r="B173" i="7" l="1"/>
  <c r="E173" i="7" s="1" a="1"/>
  <c r="E173" i="7" s="1"/>
  <c r="C172" i="7"/>
  <c r="E172" i="7" l="1" a="1"/>
  <c r="E172" i="7" s="1"/>
  <c r="C173" i="7"/>
  <c r="B174" i="7"/>
  <c r="C174" i="7" l="1"/>
  <c r="B175" i="7"/>
  <c r="E175" i="7" s="1" a="1"/>
  <c r="E175" i="7" s="1"/>
  <c r="E174" i="7" l="1" a="1"/>
  <c r="E174" i="7" s="1"/>
  <c r="C175" i="7"/>
  <c r="B176" i="7"/>
  <c r="B177" i="7" l="1"/>
  <c r="E177" i="7" s="1" a="1"/>
  <c r="E177" i="7" s="1"/>
  <c r="E176" i="7" s="1" a="1"/>
  <c r="E176" i="7" s="1"/>
  <c r="C176" i="7"/>
  <c r="B178" i="7" l="1"/>
  <c r="C177" i="7"/>
  <c r="C178" i="7" l="1"/>
  <c r="B179" i="7"/>
  <c r="E179" i="7" s="1" a="1"/>
  <c r="E179" i="7" s="1"/>
  <c r="E178" i="7" s="1" a="1"/>
  <c r="E178" i="7" s="1"/>
  <c r="C179" i="7" l="1"/>
  <c r="B180" i="7"/>
  <c r="B181" i="7" l="1"/>
  <c r="E181" i="7" s="1" a="1"/>
  <c r="E181" i="7" s="1"/>
  <c r="E180" i="7" s="1" a="1"/>
  <c r="E180" i="7" s="1"/>
  <c r="C180" i="7"/>
  <c r="B182" i="7" l="1"/>
  <c r="C181" i="7"/>
  <c r="C182" i="7" l="1"/>
  <c r="B183" i="7"/>
  <c r="E183" i="7" s="1" a="1"/>
  <c r="E183" i="7" s="1"/>
  <c r="E182" i="7" s="1" a="1"/>
  <c r="E182" i="7" s="1"/>
  <c r="C183" i="7" l="1"/>
  <c r="B184" i="7"/>
  <c r="B185" i="7" l="1"/>
  <c r="E185" i="7" s="1" a="1"/>
  <c r="E185" i="7" s="1"/>
  <c r="E184" i="7" s="1" a="1"/>
  <c r="E184" i="7" s="1"/>
  <c r="C184" i="7"/>
  <c r="B186" i="7" l="1"/>
  <c r="C185" i="7"/>
  <c r="C186" i="7" l="1"/>
  <c r="B187" i="7"/>
  <c r="E187" i="7" s="1" a="1"/>
  <c r="E187" i="7" s="1"/>
  <c r="E186" i="7" s="1" a="1"/>
  <c r="E186" i="7" s="1"/>
  <c r="C187" i="7" l="1"/>
  <c r="B188" i="7"/>
  <c r="B189" i="7" l="1"/>
  <c r="E189" i="7" s="1" a="1"/>
  <c r="E189" i="7" s="1"/>
  <c r="E188" i="7" s="1" a="1"/>
  <c r="E188" i="7" s="1"/>
  <c r="C188" i="7"/>
  <c r="B190" i="7" l="1"/>
  <c r="C189" i="7"/>
  <c r="C190" i="7" l="1"/>
  <c r="B191" i="7"/>
  <c r="E191" i="7" s="1" a="1"/>
  <c r="E191" i="7" s="1"/>
  <c r="E190" i="7" s="1" a="1"/>
  <c r="E190" i="7" s="1"/>
  <c r="C191" i="7" l="1"/>
  <c r="B192" i="7"/>
  <c r="B193" i="7" l="1"/>
  <c r="E193" i="7" s="1" a="1"/>
  <c r="E193" i="7" s="1"/>
  <c r="E192" i="7" s="1" a="1"/>
  <c r="E192" i="7" s="1"/>
  <c r="C192" i="7"/>
  <c r="B194" i="7" l="1"/>
  <c r="C193" i="7"/>
  <c r="C194" i="7" l="1"/>
  <c r="B195" i="7"/>
  <c r="E195" i="7" s="1" a="1"/>
  <c r="E195" i="7" s="1"/>
  <c r="E194" i="7" s="1" a="1"/>
  <c r="E194" i="7" s="1"/>
  <c r="C195" i="7" l="1"/>
  <c r="B196" i="7"/>
  <c r="B197" i="7" l="1"/>
  <c r="E197" i="7" s="1" a="1"/>
  <c r="E197" i="7" s="1"/>
  <c r="E196" i="7" s="1" a="1"/>
  <c r="E196" i="7" s="1"/>
  <c r="C196" i="7"/>
  <c r="B198" i="7" l="1"/>
  <c r="C197" i="7"/>
  <c r="C198" i="7" l="1"/>
  <c r="B199" i="7"/>
  <c r="E199" i="7" s="1" a="1"/>
  <c r="E199" i="7" s="1"/>
  <c r="E198" i="7" s="1" a="1"/>
  <c r="E198" i="7" s="1"/>
  <c r="C199" i="7" l="1"/>
  <c r="B200" i="7"/>
  <c r="B201" i="7" l="1"/>
  <c r="E201" i="7" s="1" a="1"/>
  <c r="E201" i="7" s="1"/>
  <c r="E200" i="7" s="1" a="1"/>
  <c r="E200" i="7" s="1"/>
  <c r="C200" i="7"/>
  <c r="B202" i="7" l="1"/>
  <c r="C201" i="7"/>
  <c r="C202" i="7" l="1"/>
  <c r="B203" i="7"/>
  <c r="E203" i="7" s="1" a="1"/>
  <c r="E203" i="7" s="1"/>
  <c r="E202" i="7" s="1" a="1"/>
  <c r="E202" i="7" s="1"/>
  <c r="C203" i="7" l="1"/>
  <c r="B204" i="7"/>
  <c r="B205" i="7" l="1"/>
  <c r="E205" i="7" s="1" a="1"/>
  <c r="E205" i="7" s="1"/>
  <c r="E204" i="7" s="1" a="1"/>
  <c r="E204" i="7" s="1"/>
  <c r="C204" i="7"/>
  <c r="B206" i="7" l="1"/>
  <c r="C205" i="7"/>
  <c r="C206" i="7" l="1"/>
  <c r="B207" i="7"/>
  <c r="E207" i="7" s="1" a="1"/>
  <c r="E207" i="7" s="1"/>
  <c r="E206" i="7" s="1" a="1"/>
  <c r="E206" i="7" s="1"/>
  <c r="C207" i="7" l="1"/>
  <c r="B208" i="7"/>
  <c r="B209" i="7" l="1"/>
  <c r="E209" i="7" s="1" a="1"/>
  <c r="E209" i="7" s="1"/>
  <c r="E208" i="7" s="1" a="1"/>
  <c r="E208" i="7" s="1"/>
  <c r="C208" i="7"/>
  <c r="B210" i="7" l="1"/>
  <c r="C209" i="7"/>
  <c r="C210" i="7" l="1"/>
  <c r="B211" i="7"/>
  <c r="E211" i="7" s="1" a="1"/>
  <c r="E211" i="7" s="1"/>
  <c r="E210" i="7" s="1" a="1"/>
  <c r="E210" i="7" s="1"/>
  <c r="C211" i="7" l="1"/>
  <c r="B212" i="7"/>
  <c r="B213" i="7" l="1"/>
  <c r="E213" i="7" s="1" a="1"/>
  <c r="E213" i="7" s="1"/>
  <c r="E212" i="7" s="1" a="1"/>
  <c r="E212" i="7" s="1"/>
  <c r="C212" i="7"/>
  <c r="B214" i="7" l="1"/>
  <c r="C213" i="7"/>
  <c r="C214" i="7" l="1"/>
  <c r="B215" i="7"/>
  <c r="E215" i="7" s="1" a="1"/>
  <c r="E215" i="7" s="1"/>
  <c r="E214" i="7" s="1" a="1"/>
  <c r="E214" i="7" s="1"/>
  <c r="C215" i="7" l="1"/>
  <c r="B216" i="7"/>
  <c r="B217" i="7" l="1"/>
  <c r="E217" i="7" s="1" a="1"/>
  <c r="E217" i="7" s="1"/>
  <c r="E216" i="7" s="1" a="1"/>
  <c r="E216" i="7" s="1"/>
  <c r="C216" i="7"/>
  <c r="B218" i="7" l="1"/>
  <c r="C217" i="7"/>
  <c r="C218" i="7" l="1"/>
  <c r="B219" i="7"/>
  <c r="E219" i="7" s="1" a="1"/>
  <c r="E219" i="7" s="1"/>
  <c r="E218" i="7" s="1" a="1"/>
  <c r="E218" i="7" s="1"/>
  <c r="C219" i="7" l="1"/>
  <c r="B220" i="7"/>
  <c r="B221" i="7" l="1"/>
  <c r="E221" i="7" s="1" a="1"/>
  <c r="E221" i="7" s="1"/>
  <c r="E220" i="7" s="1" a="1"/>
  <c r="E220" i="7" s="1"/>
  <c r="C220" i="7"/>
  <c r="B222" i="7" l="1"/>
  <c r="C221" i="7"/>
  <c r="C222" i="7" l="1"/>
  <c r="B223" i="7"/>
  <c r="E223" i="7" s="1" a="1"/>
  <c r="E223" i="7" s="1"/>
  <c r="E222" i="7" s="1" a="1"/>
  <c r="E222" i="7" s="1"/>
  <c r="C223" i="7" l="1"/>
  <c r="B224" i="7"/>
  <c r="B225" i="7" l="1"/>
  <c r="E225" i="7" s="1" a="1"/>
  <c r="E225" i="7" s="1"/>
  <c r="E224" i="7" s="1" a="1"/>
  <c r="E224" i="7" s="1"/>
  <c r="C224" i="7"/>
  <c r="B226" i="7" l="1"/>
  <c r="C225" i="7"/>
  <c r="C226" i="7" l="1"/>
  <c r="B227" i="7"/>
  <c r="E227" i="7" s="1" a="1"/>
  <c r="E227" i="7" s="1"/>
  <c r="E226" i="7" s="1" a="1"/>
  <c r="E226" i="7" s="1"/>
  <c r="C227" i="7" l="1"/>
  <c r="B228" i="7"/>
  <c r="B229" i="7" l="1"/>
  <c r="E229" i="7" s="1" a="1"/>
  <c r="E229" i="7" s="1"/>
  <c r="E228" i="7" s="1" a="1"/>
  <c r="E228" i="7" s="1"/>
  <c r="C228" i="7"/>
  <c r="B230" i="7" l="1"/>
  <c r="C229" i="7"/>
  <c r="C230" i="7" l="1"/>
  <c r="B231" i="7"/>
  <c r="E231" i="7" s="1" a="1"/>
  <c r="E231" i="7" s="1"/>
  <c r="E230" i="7" s="1" a="1"/>
  <c r="E230" i="7" s="1"/>
  <c r="C231" i="7" l="1"/>
  <c r="B232" i="7"/>
  <c r="B233" i="7" l="1"/>
  <c r="E233" i="7" s="1" a="1"/>
  <c r="E233" i="7" s="1"/>
  <c r="C232" i="7"/>
  <c r="E232" i="7" l="1" a="1"/>
  <c r="E232" i="7" s="1"/>
  <c r="B234" i="7"/>
  <c r="C233" i="7"/>
  <c r="C234" i="7" l="1"/>
  <c r="B235" i="7"/>
  <c r="E235" i="7" s="1" a="1"/>
  <c r="E235" i="7" s="1"/>
  <c r="E234" i="7" s="1" a="1"/>
  <c r="E234" i="7" s="1"/>
  <c r="C235" i="7" l="1"/>
  <c r="B236" i="7"/>
  <c r="B237" i="7" l="1"/>
  <c r="E237" i="7" s="1" a="1"/>
  <c r="E237" i="7" s="1"/>
  <c r="E236" i="7" s="1" a="1"/>
  <c r="E236" i="7" s="1"/>
  <c r="C236" i="7"/>
  <c r="C237" i="7" l="1"/>
  <c r="B238" i="7"/>
  <c r="C238" i="7" l="1"/>
  <c r="B239" i="7"/>
  <c r="E239" i="7" s="1" a="1"/>
  <c r="E239" i="7" s="1"/>
  <c r="E238" i="7" s="1" a="1"/>
  <c r="E238" i="7" s="1"/>
  <c r="B240" i="7" l="1"/>
  <c r="C239" i="7"/>
  <c r="B241" i="7" l="1"/>
  <c r="E241" i="7" s="1" a="1"/>
  <c r="E241" i="7" s="1"/>
  <c r="E240" i="7" s="1" a="1"/>
  <c r="E240" i="7" s="1"/>
  <c r="C240" i="7"/>
  <c r="C241" i="7" l="1"/>
  <c r="B242" i="7"/>
  <c r="C242" i="7" l="1"/>
  <c r="B243" i="7"/>
  <c r="E243" i="7" s="1" a="1"/>
  <c r="E243" i="7" s="1"/>
  <c r="E242" i="7" s="1" a="1"/>
  <c r="E242" i="7" s="1"/>
  <c r="C243" i="7" l="1"/>
  <c r="B244" i="7"/>
  <c r="B245" i="7" l="1"/>
  <c r="E245" i="7" s="1" a="1"/>
  <c r="E245" i="7" s="1"/>
  <c r="E244" i="7" s="1" a="1"/>
  <c r="E244" i="7" s="1"/>
  <c r="C244" i="7"/>
  <c r="B246" i="7" l="1"/>
  <c r="C245" i="7"/>
  <c r="C246" i="7" l="1"/>
  <c r="B247" i="7"/>
  <c r="E247" i="7" s="1" a="1"/>
  <c r="E247" i="7" s="1"/>
  <c r="E246" i="7" s="1" a="1"/>
  <c r="E246" i="7" s="1"/>
  <c r="C247" i="7" l="1"/>
  <c r="B248" i="7"/>
  <c r="B249" i="7" l="1"/>
  <c r="E249" i="7" s="1" a="1"/>
  <c r="E249" i="7" s="1"/>
  <c r="E248" i="7" s="1" a="1"/>
  <c r="E248" i="7" s="1"/>
  <c r="C248" i="7"/>
  <c r="C249" i="7" l="1"/>
  <c r="B250" i="7"/>
  <c r="C250" i="7" l="1"/>
  <c r="B251" i="7"/>
  <c r="E251" i="7" s="1" a="1"/>
  <c r="E251" i="7" s="1"/>
  <c r="E250" i="7" s="1" a="1"/>
  <c r="E250" i="7" s="1"/>
  <c r="C251" i="7" l="1"/>
  <c r="B252" i="7"/>
  <c r="B253" i="7" l="1"/>
  <c r="E253" i="7" s="1" a="1"/>
  <c r="E253" i="7" s="1"/>
  <c r="E252" i="7" s="1" a="1"/>
  <c r="E252" i="7" s="1"/>
  <c r="C252" i="7"/>
  <c r="C253" i="7" l="1"/>
  <c r="B254" i="7"/>
  <c r="C254" i="7" l="1"/>
  <c r="B255" i="7"/>
  <c r="E255" i="7" s="1" a="1"/>
  <c r="E255" i="7" s="1"/>
  <c r="E254" i="7" s="1" a="1"/>
  <c r="E254" i="7" s="1"/>
  <c r="C255" i="7" l="1"/>
  <c r="B256" i="7"/>
  <c r="B257" i="7" l="1"/>
  <c r="E257" i="7" s="1" a="1"/>
  <c r="E257" i="7" s="1"/>
  <c r="E256" i="7" s="1" a="1"/>
  <c r="E256" i="7" s="1"/>
  <c r="C256" i="7"/>
  <c r="C257" i="7" l="1"/>
  <c r="B258" i="7"/>
  <c r="C258" i="7" l="1"/>
  <c r="B259" i="7"/>
  <c r="E259" i="7" s="1" a="1"/>
  <c r="E259" i="7" s="1"/>
  <c r="E258" i="7" s="1" a="1"/>
  <c r="E258" i="7" s="1"/>
  <c r="C259" i="7" l="1"/>
  <c r="B260" i="7"/>
  <c r="B261" i="7" l="1"/>
  <c r="E261" i="7" s="1" a="1"/>
  <c r="E261" i="7" s="1"/>
  <c r="E260" i="7" s="1" a="1"/>
  <c r="E260" i="7" s="1"/>
  <c r="C260" i="7"/>
  <c r="B262" i="7" l="1"/>
  <c r="C261" i="7"/>
  <c r="C262" i="7" l="1"/>
  <c r="B263" i="7"/>
  <c r="E263" i="7" s="1" a="1"/>
  <c r="E263" i="7" s="1"/>
  <c r="E262" i="7" s="1" a="1"/>
  <c r="E262" i="7" s="1"/>
  <c r="C263" i="7" l="1"/>
  <c r="B264" i="7"/>
  <c r="B265" i="7" l="1"/>
  <c r="E265" i="7" s="1" a="1"/>
  <c r="E265" i="7" s="1"/>
  <c r="E264" i="7" s="1" a="1"/>
  <c r="E264" i="7" s="1"/>
  <c r="C264" i="7"/>
  <c r="C265" i="7" l="1"/>
  <c r="B266" i="7"/>
  <c r="B267" i="7" l="1"/>
  <c r="E267" i="7" s="1" a="1"/>
  <c r="E267" i="7" s="1"/>
  <c r="E266" i="7" s="1" a="1"/>
  <c r="E266" i="7" s="1"/>
  <c r="C266" i="7"/>
  <c r="B268" i="7" l="1"/>
  <c r="C267" i="7"/>
  <c r="C268" i="7" l="1"/>
  <c r="B269" i="7"/>
  <c r="E269" i="7" s="1" a="1"/>
  <c r="E269" i="7" s="1"/>
  <c r="E268" i="7" s="1" a="1"/>
  <c r="E268" i="7" s="1"/>
  <c r="C269" i="7" l="1"/>
  <c r="B270" i="7"/>
  <c r="B271" i="7" l="1"/>
  <c r="E271" i="7" s="1" a="1"/>
  <c r="E271" i="7" s="1"/>
  <c r="E270" i="7" s="1" a="1"/>
  <c r="E270" i="7" s="1"/>
  <c r="C270" i="7"/>
  <c r="B272" i="7" l="1"/>
  <c r="C271" i="7"/>
  <c r="C272" i="7" l="1"/>
  <c r="B273" i="7"/>
  <c r="E273" i="7" s="1" a="1"/>
  <c r="E273" i="7" s="1"/>
  <c r="E272" i="7" s="1" a="1"/>
  <c r="E272" i="7" s="1"/>
  <c r="C273" i="7" l="1"/>
  <c r="N15" i="6" l="1"/>
  <c r="N49" i="6" s="1"/>
  <c r="N16" i="6"/>
  <c r="N19" i="6"/>
  <c r="N21" i="6"/>
  <c r="N22" i="6"/>
  <c r="N23" i="6"/>
  <c r="E57" i="6" l="1"/>
  <c r="B11" i="7"/>
  <c r="B12" i="7" l="1"/>
  <c r="F158" i="7" s="1"/>
  <c r="G158" i="7" s="1"/>
  <c r="B14" i="7"/>
  <c r="L59" i="6" s="1"/>
  <c r="M49" i="6"/>
  <c r="B15" i="7" l="1"/>
  <c r="E60" i="6" s="1"/>
  <c r="H35" i="7"/>
  <c r="H48" i="7"/>
  <c r="H43" i="7"/>
  <c r="H44" i="7"/>
  <c r="H40" i="7"/>
  <c r="H42" i="7"/>
  <c r="H45" i="7"/>
  <c r="F65" i="7"/>
  <c r="G65" i="7" s="1"/>
  <c r="F69" i="7"/>
  <c r="G69" i="7" s="1"/>
  <c r="F40" i="7"/>
  <c r="G40" i="7" s="1"/>
  <c r="F47" i="7"/>
  <c r="G47" i="7" s="1"/>
  <c r="F34" i="7"/>
  <c r="G34" i="7" s="1"/>
  <c r="F53" i="7"/>
  <c r="G53" i="7" s="1"/>
  <c r="F77" i="7"/>
  <c r="G77" i="7" s="1"/>
  <c r="F46" i="7"/>
  <c r="G46" i="7" s="1"/>
  <c r="F37" i="7"/>
  <c r="G37" i="7" s="1"/>
  <c r="F45" i="7"/>
  <c r="G45" i="7" s="1"/>
  <c r="F79" i="7"/>
  <c r="G79" i="7" s="1"/>
  <c r="F39" i="7"/>
  <c r="G39" i="7" s="1"/>
  <c r="F61" i="7"/>
  <c r="G61" i="7" s="1"/>
  <c r="F93" i="7"/>
  <c r="G93" i="7" s="1"/>
  <c r="F85" i="7"/>
  <c r="G85" i="7" s="1"/>
  <c r="F63" i="7"/>
  <c r="G63" i="7" s="1"/>
  <c r="F62" i="7"/>
  <c r="G62" i="7" s="1"/>
  <c r="F72" i="7"/>
  <c r="G72" i="7" s="1"/>
  <c r="F92" i="7"/>
  <c r="G92" i="7" s="1"/>
  <c r="F55" i="7"/>
  <c r="G55" i="7" s="1"/>
  <c r="F71" i="7"/>
  <c r="G71" i="7" s="1"/>
  <c r="F87" i="7"/>
  <c r="G87" i="7" s="1"/>
  <c r="F64" i="7"/>
  <c r="G64" i="7" s="1"/>
  <c r="F48" i="7"/>
  <c r="G48" i="7" s="1"/>
  <c r="F95" i="7"/>
  <c r="G95" i="7" s="1"/>
  <c r="F38" i="7"/>
  <c r="G38" i="7" s="1"/>
  <c r="F54" i="7"/>
  <c r="G54" i="7" s="1"/>
  <c r="F70" i="7"/>
  <c r="G70" i="7" s="1"/>
  <c r="F86" i="7"/>
  <c r="G86" i="7" s="1"/>
  <c r="F111" i="7"/>
  <c r="G111" i="7" s="1"/>
  <c r="F80" i="7"/>
  <c r="G80" i="7" s="1"/>
  <c r="F101" i="7"/>
  <c r="G101" i="7" s="1"/>
  <c r="F82" i="7"/>
  <c r="G82" i="7" s="1"/>
  <c r="F109" i="7"/>
  <c r="G109" i="7" s="1"/>
  <c r="F96" i="7"/>
  <c r="G96" i="7" s="1"/>
  <c r="F147" i="7"/>
  <c r="G147" i="7" s="1"/>
  <c r="F88" i="7"/>
  <c r="G88" i="7" s="1"/>
  <c r="F124" i="7"/>
  <c r="G124" i="7" s="1"/>
  <c r="F78" i="7"/>
  <c r="G78" i="7" s="1"/>
  <c r="F103" i="7"/>
  <c r="G103" i="7" s="1"/>
  <c r="F116" i="7"/>
  <c r="G116" i="7" s="1"/>
  <c r="F132" i="7"/>
  <c r="G132" i="7" s="1"/>
  <c r="F110" i="7"/>
  <c r="G110" i="7" s="1"/>
  <c r="F106" i="7"/>
  <c r="G106" i="7" s="1"/>
  <c r="F123" i="7"/>
  <c r="G123" i="7" s="1"/>
  <c r="F187" i="7"/>
  <c r="G187" i="7" s="1"/>
  <c r="F104" i="7"/>
  <c r="G104" i="7" s="1"/>
  <c r="F122" i="7"/>
  <c r="G122" i="7" s="1"/>
  <c r="F140" i="7"/>
  <c r="G140" i="7" s="1"/>
  <c r="F117" i="7"/>
  <c r="G117" i="7" s="1"/>
  <c r="F125" i="7"/>
  <c r="G125" i="7" s="1"/>
  <c r="F100" i="7"/>
  <c r="G100" i="7" s="1"/>
  <c r="F114" i="7"/>
  <c r="G114" i="7" s="1"/>
  <c r="F130" i="7"/>
  <c r="G130" i="7" s="1"/>
  <c r="F94" i="7"/>
  <c r="G94" i="7" s="1"/>
  <c r="F129" i="7"/>
  <c r="G129" i="7" s="1"/>
  <c r="F121" i="7"/>
  <c r="G121" i="7" s="1"/>
  <c r="F211" i="7"/>
  <c r="G211" i="7" s="1"/>
  <c r="F138" i="7"/>
  <c r="G138" i="7" s="1"/>
  <c r="F115" i="7"/>
  <c r="G115" i="7" s="1"/>
  <c r="F137" i="7"/>
  <c r="G137" i="7" s="1"/>
  <c r="F243" i="7"/>
  <c r="G243" i="7" s="1"/>
  <c r="F220" i="7"/>
  <c r="G220" i="7" s="1"/>
  <c r="F179" i="7"/>
  <c r="G179" i="7" s="1"/>
  <c r="F251" i="7"/>
  <c r="G251" i="7" s="1"/>
  <c r="F228" i="7"/>
  <c r="G228" i="7" s="1"/>
  <c r="F156" i="7"/>
  <c r="G156" i="7" s="1"/>
  <c r="F164" i="7"/>
  <c r="G164" i="7" s="1"/>
  <c r="F188" i="7"/>
  <c r="G188" i="7" s="1"/>
  <c r="F252" i="7"/>
  <c r="G252" i="7" s="1"/>
  <c r="F155" i="7"/>
  <c r="G155" i="7" s="1"/>
  <c r="F219" i="7"/>
  <c r="G219" i="7" s="1"/>
  <c r="F196" i="7"/>
  <c r="G196" i="7" s="1"/>
  <c r="F260" i="7"/>
  <c r="G260" i="7" s="1"/>
  <c r="F75" i="7"/>
  <c r="G75" i="7" s="1"/>
  <c r="F35" i="7"/>
  <c r="G35" i="7" s="1"/>
  <c r="F43" i="7"/>
  <c r="G43" i="7" s="1"/>
  <c r="F51" i="7"/>
  <c r="G51" i="7" s="1"/>
  <c r="F59" i="7"/>
  <c r="G59" i="7" s="1"/>
  <c r="F67" i="7"/>
  <c r="G67" i="7" s="1"/>
  <c r="F83" i="7"/>
  <c r="G83" i="7" s="1"/>
  <c r="F36" i="7"/>
  <c r="G36" i="7" s="1"/>
  <c r="F44" i="7"/>
  <c r="G44" i="7" s="1"/>
  <c r="F52" i="7"/>
  <c r="G52" i="7" s="1"/>
  <c r="F60" i="7"/>
  <c r="G60" i="7" s="1"/>
  <c r="F68" i="7"/>
  <c r="G68" i="7" s="1"/>
  <c r="F76" i="7"/>
  <c r="G76" i="7" s="1"/>
  <c r="F84" i="7"/>
  <c r="G84" i="7" s="1"/>
  <c r="F91" i="7"/>
  <c r="G91" i="7" s="1"/>
  <c r="F99" i="7"/>
  <c r="G99" i="7" s="1"/>
  <c r="F107" i="7"/>
  <c r="G107" i="7" s="1"/>
  <c r="F74" i="7"/>
  <c r="G74" i="7" s="1"/>
  <c r="F90" i="7"/>
  <c r="G90" i="7" s="1"/>
  <c r="F98" i="7"/>
  <c r="G98" i="7" s="1"/>
  <c r="F112" i="7"/>
  <c r="G112" i="7" s="1"/>
  <c r="F120" i="7"/>
  <c r="G120" i="7" s="1"/>
  <c r="F128" i="7"/>
  <c r="G128" i="7" s="1"/>
  <c r="F136" i="7"/>
  <c r="G136" i="7" s="1"/>
  <c r="F144" i="7"/>
  <c r="G144" i="7" s="1"/>
  <c r="F105" i="7"/>
  <c r="G105" i="7" s="1"/>
  <c r="F102" i="7"/>
  <c r="G102" i="7" s="1"/>
  <c r="F119" i="7"/>
  <c r="G119" i="7" s="1"/>
  <c r="F113" i="7"/>
  <c r="G113" i="7" s="1"/>
  <c r="F133" i="7"/>
  <c r="G133" i="7" s="1"/>
  <c r="F146" i="7"/>
  <c r="G146" i="7" s="1"/>
  <c r="F171" i="7"/>
  <c r="G171" i="7" s="1"/>
  <c r="F203" i="7"/>
  <c r="G203" i="7" s="1"/>
  <c r="F235" i="7"/>
  <c r="G235" i="7" s="1"/>
  <c r="F267" i="7"/>
  <c r="G267" i="7" s="1"/>
  <c r="F151" i="7"/>
  <c r="G151" i="7" s="1"/>
  <c r="F180" i="7"/>
  <c r="G180" i="7" s="1"/>
  <c r="F212" i="7"/>
  <c r="G212" i="7" s="1"/>
  <c r="F244" i="7"/>
  <c r="G244" i="7" s="1"/>
  <c r="F141" i="7"/>
  <c r="G141" i="7" s="1"/>
  <c r="F33" i="7"/>
  <c r="G33" i="7" s="1"/>
  <c r="F41" i="7"/>
  <c r="G41" i="7" s="1"/>
  <c r="F49" i="7"/>
  <c r="G49" i="7" s="1"/>
  <c r="F57" i="7"/>
  <c r="G57" i="7" s="1"/>
  <c r="F73" i="7"/>
  <c r="G73" i="7" s="1"/>
  <c r="F81" i="7"/>
  <c r="G81" i="7" s="1"/>
  <c r="F50" i="7"/>
  <c r="G50" i="7" s="1"/>
  <c r="F58" i="7"/>
  <c r="G58" i="7" s="1"/>
  <c r="F66" i="7"/>
  <c r="G66" i="7" s="1"/>
  <c r="F42" i="7"/>
  <c r="G42" i="7" s="1"/>
  <c r="F56" i="7"/>
  <c r="G56" i="7" s="1"/>
  <c r="F89" i="7"/>
  <c r="G89" i="7" s="1"/>
  <c r="F97" i="7"/>
  <c r="G97" i="7" s="1"/>
  <c r="F118" i="7"/>
  <c r="G118" i="7" s="1"/>
  <c r="F126" i="7"/>
  <c r="G126" i="7" s="1"/>
  <c r="F134" i="7"/>
  <c r="G134" i="7" s="1"/>
  <c r="F142" i="7"/>
  <c r="G142" i="7" s="1"/>
  <c r="F108" i="7"/>
  <c r="G108" i="7" s="1"/>
  <c r="F163" i="7"/>
  <c r="G163" i="7" s="1"/>
  <c r="F195" i="7"/>
  <c r="G195" i="7" s="1"/>
  <c r="F227" i="7"/>
  <c r="G227" i="7" s="1"/>
  <c r="F259" i="7"/>
  <c r="G259" i="7" s="1"/>
  <c r="F172" i="7"/>
  <c r="G172" i="7" s="1"/>
  <c r="F204" i="7"/>
  <c r="G204" i="7" s="1"/>
  <c r="F236" i="7"/>
  <c r="G236" i="7" s="1"/>
  <c r="F268" i="7"/>
  <c r="G268" i="7" s="1"/>
  <c r="F148" i="7"/>
  <c r="G148" i="7" s="1"/>
  <c r="F145" i="7"/>
  <c r="G145" i="7" s="1"/>
  <c r="F131" i="7"/>
  <c r="G131" i="7" s="1"/>
  <c r="F159" i="7"/>
  <c r="G159" i="7" s="1"/>
  <c r="F175" i="7"/>
  <c r="G175" i="7" s="1"/>
  <c r="F191" i="7"/>
  <c r="G191" i="7" s="1"/>
  <c r="F207" i="7"/>
  <c r="G207" i="7" s="1"/>
  <c r="F223" i="7"/>
  <c r="G223" i="7" s="1"/>
  <c r="F239" i="7"/>
  <c r="G239" i="7" s="1"/>
  <c r="F255" i="7"/>
  <c r="G255" i="7" s="1"/>
  <c r="F271" i="7"/>
  <c r="G271" i="7" s="1"/>
  <c r="F153" i="7"/>
  <c r="G153" i="7" s="1"/>
  <c r="F168" i="7"/>
  <c r="G168" i="7" s="1"/>
  <c r="F184" i="7"/>
  <c r="G184" i="7" s="1"/>
  <c r="F200" i="7"/>
  <c r="G200" i="7" s="1"/>
  <c r="F216" i="7"/>
  <c r="G216" i="7" s="1"/>
  <c r="F232" i="7"/>
  <c r="G232" i="7" s="1"/>
  <c r="F248" i="7"/>
  <c r="G248" i="7" s="1"/>
  <c r="F264" i="7"/>
  <c r="G264" i="7" s="1"/>
  <c r="F139" i="7"/>
  <c r="G139" i="7" s="1"/>
  <c r="F143" i="7"/>
  <c r="G143" i="7" s="1"/>
  <c r="F167" i="7"/>
  <c r="G167" i="7" s="1"/>
  <c r="F183" i="7"/>
  <c r="G183" i="7" s="1"/>
  <c r="F199" i="7"/>
  <c r="G199" i="7" s="1"/>
  <c r="F215" i="7"/>
  <c r="G215" i="7" s="1"/>
  <c r="F231" i="7"/>
  <c r="G231" i="7" s="1"/>
  <c r="F247" i="7"/>
  <c r="G247" i="7" s="1"/>
  <c r="F263" i="7"/>
  <c r="G263" i="7" s="1"/>
  <c r="F149" i="7"/>
  <c r="G149" i="7" s="1"/>
  <c r="F160" i="7"/>
  <c r="G160" i="7" s="1"/>
  <c r="F176" i="7"/>
  <c r="G176" i="7" s="1"/>
  <c r="F192" i="7"/>
  <c r="G192" i="7" s="1"/>
  <c r="F208" i="7"/>
  <c r="G208" i="7" s="1"/>
  <c r="F224" i="7"/>
  <c r="G224" i="7" s="1"/>
  <c r="F240" i="7"/>
  <c r="G240" i="7" s="1"/>
  <c r="F256" i="7"/>
  <c r="G256" i="7" s="1"/>
  <c r="F127" i="7"/>
  <c r="G127" i="7" s="1"/>
  <c r="F157" i="7"/>
  <c r="G157" i="7" s="1"/>
  <c r="F152" i="7"/>
  <c r="G152" i="7" s="1"/>
  <c r="F135" i="7"/>
  <c r="G135" i="7" s="1"/>
  <c r="F161" i="7"/>
  <c r="G161" i="7" s="1"/>
  <c r="F169" i="7"/>
  <c r="G169" i="7" s="1"/>
  <c r="F177" i="7"/>
  <c r="G177" i="7" s="1"/>
  <c r="F185" i="7"/>
  <c r="G185" i="7" s="1"/>
  <c r="F193" i="7"/>
  <c r="G193" i="7" s="1"/>
  <c r="F201" i="7"/>
  <c r="G201" i="7" s="1"/>
  <c r="F209" i="7"/>
  <c r="G209" i="7" s="1"/>
  <c r="F217" i="7"/>
  <c r="G217" i="7" s="1"/>
  <c r="F225" i="7"/>
  <c r="G225" i="7" s="1"/>
  <c r="F233" i="7"/>
  <c r="G233" i="7" s="1"/>
  <c r="F241" i="7"/>
  <c r="G241" i="7" s="1"/>
  <c r="F249" i="7"/>
  <c r="G249" i="7" s="1"/>
  <c r="F257" i="7"/>
  <c r="G257" i="7" s="1"/>
  <c r="F265" i="7"/>
  <c r="G265" i="7" s="1"/>
  <c r="F272" i="7"/>
  <c r="G272" i="7" s="1"/>
  <c r="F270" i="7"/>
  <c r="G270" i="7" s="1"/>
  <c r="F150" i="7"/>
  <c r="G150" i="7" s="1"/>
  <c r="F162" i="7"/>
  <c r="G162" i="7" s="1"/>
  <c r="F170" i="7"/>
  <c r="G170" i="7" s="1"/>
  <c r="F178" i="7"/>
  <c r="G178" i="7" s="1"/>
  <c r="F186" i="7"/>
  <c r="G186" i="7" s="1"/>
  <c r="F194" i="7"/>
  <c r="G194" i="7" s="1"/>
  <c r="F202" i="7"/>
  <c r="G202" i="7" s="1"/>
  <c r="F210" i="7"/>
  <c r="G210" i="7" s="1"/>
  <c r="F218" i="7"/>
  <c r="G218" i="7" s="1"/>
  <c r="F226" i="7"/>
  <c r="G226" i="7" s="1"/>
  <c r="F234" i="7"/>
  <c r="G234" i="7" s="1"/>
  <c r="F242" i="7"/>
  <c r="G242" i="7" s="1"/>
  <c r="F250" i="7"/>
  <c r="G250" i="7" s="1"/>
  <c r="F258" i="7"/>
  <c r="G258" i="7" s="1"/>
  <c r="F266" i="7"/>
  <c r="G266" i="7" s="1"/>
  <c r="F273" i="7"/>
  <c r="G273" i="7" s="1"/>
  <c r="F262" i="7"/>
  <c r="G262" i="7" s="1"/>
  <c r="F165" i="7"/>
  <c r="G165" i="7" s="1"/>
  <c r="F173" i="7"/>
  <c r="G173" i="7" s="1"/>
  <c r="F181" i="7"/>
  <c r="G181" i="7" s="1"/>
  <c r="F189" i="7"/>
  <c r="G189" i="7" s="1"/>
  <c r="F197" i="7"/>
  <c r="G197" i="7" s="1"/>
  <c r="F205" i="7"/>
  <c r="G205" i="7" s="1"/>
  <c r="F213" i="7"/>
  <c r="G213" i="7" s="1"/>
  <c r="F221" i="7"/>
  <c r="G221" i="7" s="1"/>
  <c r="F229" i="7"/>
  <c r="G229" i="7" s="1"/>
  <c r="F237" i="7"/>
  <c r="G237" i="7" s="1"/>
  <c r="F245" i="7"/>
  <c r="G245" i="7" s="1"/>
  <c r="F253" i="7"/>
  <c r="G253" i="7" s="1"/>
  <c r="F261" i="7"/>
  <c r="G261" i="7" s="1"/>
  <c r="F269" i="7"/>
  <c r="G269" i="7" s="1"/>
  <c r="F154" i="7"/>
  <c r="G154" i="7" s="1"/>
  <c r="F166" i="7"/>
  <c r="G166" i="7" s="1"/>
  <c r="F174" i="7"/>
  <c r="G174" i="7" s="1"/>
  <c r="F182" i="7"/>
  <c r="G182" i="7" s="1"/>
  <c r="F190" i="7"/>
  <c r="G190" i="7" s="1"/>
  <c r="F198" i="7"/>
  <c r="G198" i="7" s="1"/>
  <c r="F206" i="7"/>
  <c r="G206" i="7" s="1"/>
  <c r="F214" i="7"/>
  <c r="G214" i="7" s="1"/>
  <c r="F222" i="7"/>
  <c r="G222" i="7" s="1"/>
  <c r="F230" i="7"/>
  <c r="G230" i="7" s="1"/>
  <c r="F246" i="7"/>
  <c r="G246" i="7" s="1"/>
  <c r="F254" i="7"/>
  <c r="G254" i="7" s="1"/>
  <c r="F238" i="7"/>
  <c r="G238" i="7" s="1"/>
  <c r="H70" i="7"/>
  <c r="H98" i="7"/>
  <c r="H64" i="7"/>
  <c r="H74" i="7"/>
  <c r="H90" i="7"/>
  <c r="H72" i="7"/>
  <c r="H104" i="7"/>
  <c r="H33" i="7"/>
  <c r="H34" i="7"/>
  <c r="H53" i="7"/>
  <c r="H56" i="7"/>
  <c r="H61" i="7"/>
  <c r="H77" i="7"/>
  <c r="H80" i="7"/>
  <c r="H83" i="7"/>
  <c r="H85" i="7"/>
  <c r="H88" i="7"/>
  <c r="H91" i="7"/>
  <c r="H93" i="7"/>
  <c r="H96" i="7"/>
  <c r="H101" i="7"/>
  <c r="H107" i="7"/>
  <c r="H109" i="7"/>
  <c r="H113" i="7"/>
  <c r="H119" i="7"/>
  <c r="H121" i="7"/>
  <c r="H131" i="7"/>
  <c r="H133" i="7"/>
  <c r="H135" i="7"/>
  <c r="H137" i="7"/>
  <c r="H139" i="7"/>
  <c r="H141" i="7"/>
  <c r="H143" i="7"/>
  <c r="H145" i="7"/>
  <c r="H147" i="7"/>
  <c r="H149" i="7"/>
  <c r="H153" i="7"/>
  <c r="H157" i="7"/>
  <c r="H161" i="7"/>
  <c r="H165" i="7"/>
  <c r="H169" i="7"/>
  <c r="H173" i="7"/>
  <c r="H177" i="7"/>
  <c r="H181" i="7"/>
  <c r="H185" i="7"/>
  <c r="H189" i="7"/>
  <c r="H193" i="7"/>
  <c r="H197" i="7"/>
  <c r="H201" i="7"/>
  <c r="H205" i="7"/>
  <c r="H209" i="7"/>
  <c r="H213" i="7"/>
  <c r="H217" i="7"/>
  <c r="H221" i="7"/>
  <c r="H225" i="7"/>
  <c r="H229" i="7"/>
  <c r="H233" i="7"/>
  <c r="H237" i="7"/>
  <c r="H241" i="7"/>
  <c r="H245" i="7"/>
  <c r="H249" i="7"/>
  <c r="H253" i="7"/>
  <c r="H257" i="7"/>
  <c r="H38" i="7"/>
  <c r="H46" i="7"/>
  <c r="H49" i="7"/>
  <c r="H51" i="7"/>
  <c r="H54" i="7"/>
  <c r="H59" i="7"/>
  <c r="H62" i="7"/>
  <c r="H67" i="7"/>
  <c r="H75" i="7"/>
  <c r="H78" i="7"/>
  <c r="H36" i="7"/>
  <c r="H41" i="7"/>
  <c r="H52" i="7"/>
  <c r="H57" i="7"/>
  <c r="H60" i="7"/>
  <c r="H65" i="7"/>
  <c r="H68" i="7"/>
  <c r="H71" i="7"/>
  <c r="H73" i="7"/>
  <c r="H76" i="7"/>
  <c r="H81" i="7"/>
  <c r="H84" i="7"/>
  <c r="H87" i="7"/>
  <c r="H89" i="7"/>
  <c r="H92" i="7"/>
  <c r="H95" i="7"/>
  <c r="H97" i="7"/>
  <c r="H100" i="7"/>
  <c r="H103" i="7"/>
  <c r="H108" i="7"/>
  <c r="H112" i="7"/>
  <c r="H116" i="7"/>
  <c r="H120" i="7"/>
  <c r="H122" i="7"/>
  <c r="H124" i="7"/>
  <c r="H126" i="7"/>
  <c r="H128" i="7"/>
  <c r="H130" i="7"/>
  <c r="H132" i="7"/>
  <c r="H138" i="7"/>
  <c r="H142" i="7"/>
  <c r="H146" i="7"/>
  <c r="H150" i="7"/>
  <c r="H152" i="7"/>
  <c r="H155" i="7"/>
  <c r="H159" i="7"/>
  <c r="H163" i="7"/>
  <c r="H167" i="7"/>
  <c r="H171" i="7"/>
  <c r="H175" i="7"/>
  <c r="H179" i="7"/>
  <c r="H183" i="7"/>
  <c r="H187" i="7"/>
  <c r="H191" i="7"/>
  <c r="H195" i="7"/>
  <c r="H199" i="7"/>
  <c r="H203" i="7"/>
  <c r="H207" i="7"/>
  <c r="H211" i="7"/>
  <c r="H215" i="7"/>
  <c r="H219" i="7"/>
  <c r="H223" i="7"/>
  <c r="H227" i="7"/>
  <c r="H231" i="7"/>
  <c r="H235" i="7"/>
  <c r="H239" i="7"/>
  <c r="H243" i="7"/>
  <c r="H247" i="7"/>
  <c r="H251" i="7"/>
  <c r="H255" i="7"/>
  <c r="H39" i="7"/>
  <c r="H50" i="7"/>
  <c r="H82" i="7"/>
  <c r="H94" i="7"/>
  <c r="H99" i="7"/>
  <c r="H105" i="7"/>
  <c r="H110" i="7"/>
  <c r="H114" i="7"/>
  <c r="H118" i="7"/>
  <c r="H134" i="7"/>
  <c r="H154" i="7"/>
  <c r="H162" i="7"/>
  <c r="H170" i="7"/>
  <c r="H178" i="7"/>
  <c r="H186" i="7"/>
  <c r="H194" i="7"/>
  <c r="H202" i="7"/>
  <c r="H210" i="7"/>
  <c r="H218" i="7"/>
  <c r="H226" i="7"/>
  <c r="H234" i="7"/>
  <c r="H242" i="7"/>
  <c r="H250" i="7"/>
  <c r="H258" i="7"/>
  <c r="H262" i="7"/>
  <c r="H266" i="7"/>
  <c r="H270" i="7"/>
  <c r="H246" i="7"/>
  <c r="H264" i="7"/>
  <c r="H47" i="7"/>
  <c r="H79" i="7"/>
  <c r="H129" i="7"/>
  <c r="H168" i="7"/>
  <c r="H184" i="7"/>
  <c r="H200" i="7"/>
  <c r="H216" i="7"/>
  <c r="H232" i="7"/>
  <c r="H256" i="7"/>
  <c r="H265" i="7"/>
  <c r="H273" i="7"/>
  <c r="H63" i="7"/>
  <c r="H106" i="7"/>
  <c r="H111" i="7"/>
  <c r="H115" i="7"/>
  <c r="H123" i="7"/>
  <c r="H127" i="7"/>
  <c r="H151" i="7"/>
  <c r="H156" i="7"/>
  <c r="H164" i="7"/>
  <c r="H172" i="7"/>
  <c r="H180" i="7"/>
  <c r="H188" i="7"/>
  <c r="H196" i="7"/>
  <c r="H204" i="7"/>
  <c r="H212" i="7"/>
  <c r="H220" i="7"/>
  <c r="H228" i="7"/>
  <c r="H236" i="7"/>
  <c r="H244" i="7"/>
  <c r="H252" i="7"/>
  <c r="H259" i="7"/>
  <c r="H263" i="7"/>
  <c r="H267" i="7"/>
  <c r="H271" i="7"/>
  <c r="H182" i="7"/>
  <c r="H190" i="7"/>
  <c r="H206" i="7"/>
  <c r="H214" i="7"/>
  <c r="H222" i="7"/>
  <c r="H238" i="7"/>
  <c r="H254" i="7"/>
  <c r="H260" i="7"/>
  <c r="H268" i="7"/>
  <c r="H272" i="7"/>
  <c r="H58" i="7"/>
  <c r="H117" i="7"/>
  <c r="H125" i="7"/>
  <c r="H176" i="7"/>
  <c r="H192" i="7"/>
  <c r="H208" i="7"/>
  <c r="H224" i="7"/>
  <c r="H248" i="7"/>
  <c r="H261" i="7"/>
  <c r="H269" i="7"/>
  <c r="H37" i="7"/>
  <c r="H55" i="7"/>
  <c r="H66" i="7"/>
  <c r="H86" i="7"/>
  <c r="H102" i="7"/>
  <c r="H136" i="7"/>
  <c r="H140" i="7"/>
  <c r="H144" i="7"/>
  <c r="H148" i="7"/>
  <c r="H158" i="7"/>
  <c r="I158" i="7" s="1"/>
  <c r="H166" i="7"/>
  <c r="H174" i="7"/>
  <c r="H198" i="7"/>
  <c r="H230" i="7"/>
  <c r="H69" i="7"/>
  <c r="H160" i="7"/>
  <c r="H240" i="7"/>
  <c r="I35" i="7" l="1"/>
  <c r="I36" i="7"/>
  <c r="I37" i="7"/>
  <c r="I38" i="7"/>
  <c r="I65" i="7"/>
  <c r="I260" i="7"/>
  <c r="I72" i="7"/>
  <c r="I252" i="7"/>
  <c r="I110" i="7"/>
  <c r="I92" i="7"/>
  <c r="I104" i="7"/>
  <c r="I156" i="7"/>
  <c r="I40" i="7"/>
  <c r="I123" i="7"/>
  <c r="I117" i="7"/>
  <c r="I86" i="7"/>
  <c r="I70" i="7"/>
  <c r="I93" i="7"/>
  <c r="I61" i="7"/>
  <c r="I48" i="7"/>
  <c r="I54" i="7"/>
  <c r="I112" i="7"/>
  <c r="I47" i="7"/>
  <c r="I272" i="7"/>
  <c r="I116" i="7"/>
  <c r="I263" i="7"/>
  <c r="I75" i="7"/>
  <c r="I141" i="7"/>
  <c r="I69" i="7"/>
  <c r="I82" i="7"/>
  <c r="I195" i="7"/>
  <c r="I89" i="7"/>
  <c r="I57" i="7"/>
  <c r="I91" i="7"/>
  <c r="I80" i="7"/>
  <c r="I34" i="7"/>
  <c r="I79" i="7"/>
  <c r="I211" i="7"/>
  <c r="I68" i="7"/>
  <c r="I136" i="7"/>
  <c r="I180" i="7"/>
  <c r="I174" i="7"/>
  <c r="I269" i="7"/>
  <c r="I255" i="7"/>
  <c r="I191" i="7"/>
  <c r="I241" i="7"/>
  <c r="I209" i="7"/>
  <c r="I219" i="7"/>
  <c r="I130" i="7"/>
  <c r="I140" i="7"/>
  <c r="I125" i="7"/>
  <c r="I220" i="7"/>
  <c r="I188" i="7"/>
  <c r="I106" i="7"/>
  <c r="I129" i="7"/>
  <c r="I137" i="7"/>
  <c r="I78" i="7"/>
  <c r="I251" i="7"/>
  <c r="I167" i="7"/>
  <c r="I231" i="7"/>
  <c r="I132" i="7"/>
  <c r="I109" i="7"/>
  <c r="I88" i="7"/>
  <c r="I77" i="7"/>
  <c r="I45" i="7"/>
  <c r="I196" i="7"/>
  <c r="I71" i="7"/>
  <c r="I248" i="7"/>
  <c r="I271" i="7"/>
  <c r="I102" i="7"/>
  <c r="I212" i="7"/>
  <c r="I39" i="7"/>
  <c r="I243" i="7"/>
  <c r="I227" i="7"/>
  <c r="I179" i="7"/>
  <c r="I142" i="7"/>
  <c r="I67" i="7"/>
  <c r="I46" i="7"/>
  <c r="I101" i="7"/>
  <c r="I115" i="7"/>
  <c r="I63" i="7"/>
  <c r="I99" i="7"/>
  <c r="I124" i="7"/>
  <c r="I87" i="7"/>
  <c r="I33" i="7"/>
  <c r="I144" i="7"/>
  <c r="I164" i="7"/>
  <c r="I114" i="7"/>
  <c r="I187" i="7"/>
  <c r="I155" i="7"/>
  <c r="I138" i="7"/>
  <c r="I122" i="7"/>
  <c r="I96" i="7"/>
  <c r="I55" i="7"/>
  <c r="I268" i="7"/>
  <c r="I228" i="7"/>
  <c r="I111" i="7"/>
  <c r="I262" i="7"/>
  <c r="I94" i="7"/>
  <c r="I171" i="7"/>
  <c r="I95" i="7"/>
  <c r="I62" i="7"/>
  <c r="I51" i="7"/>
  <c r="I147" i="7"/>
  <c r="I85" i="7"/>
  <c r="I53" i="7"/>
  <c r="I74" i="7"/>
  <c r="I177" i="7"/>
  <c r="I58" i="7"/>
  <c r="I42" i="7"/>
  <c r="I258" i="7"/>
  <c r="I226" i="7"/>
  <c r="I194" i="7"/>
  <c r="I162" i="7"/>
  <c r="I128" i="7"/>
  <c r="I103" i="7"/>
  <c r="I81" i="7"/>
  <c r="I60" i="7"/>
  <c r="I49" i="7"/>
  <c r="I121" i="7"/>
  <c r="I113" i="7"/>
  <c r="I83" i="7"/>
  <c r="I64" i="7"/>
  <c r="I206" i="7"/>
  <c r="I151" i="7"/>
  <c r="I163" i="7"/>
  <c r="I126" i="7"/>
  <c r="I100" i="7"/>
  <c r="I143" i="7"/>
  <c r="I246" i="7"/>
  <c r="I237" i="7"/>
  <c r="I205" i="7"/>
  <c r="I173" i="7"/>
  <c r="I148" i="7"/>
  <c r="I66" i="7"/>
  <c r="I172" i="7"/>
  <c r="I134" i="7"/>
  <c r="I207" i="7"/>
  <c r="I133" i="7"/>
  <c r="I203" i="7"/>
  <c r="I215" i="7"/>
  <c r="I59" i="7"/>
  <c r="I98" i="7"/>
  <c r="I127" i="7"/>
  <c r="I264" i="7"/>
  <c r="I235" i="7"/>
  <c r="I139" i="7"/>
  <c r="I44" i="7"/>
  <c r="I208" i="7"/>
  <c r="I204" i="7"/>
  <c r="I200" i="7"/>
  <c r="I223" i="7"/>
  <c r="I159" i="7"/>
  <c r="I108" i="7"/>
  <c r="I97" i="7"/>
  <c r="I76" i="7"/>
  <c r="I149" i="7"/>
  <c r="I135" i="7"/>
  <c r="I119" i="7"/>
  <c r="I233" i="7"/>
  <c r="I201" i="7"/>
  <c r="I169" i="7"/>
  <c r="I230" i="7"/>
  <c r="I224" i="7"/>
  <c r="I267" i="7"/>
  <c r="I244" i="7"/>
  <c r="I216" i="7"/>
  <c r="I105" i="7"/>
  <c r="I160" i="7"/>
  <c r="I265" i="7"/>
  <c r="I236" i="7"/>
  <c r="I118" i="7"/>
  <c r="I239" i="7"/>
  <c r="I175" i="7"/>
  <c r="I56" i="7"/>
  <c r="I90" i="7"/>
  <c r="I146" i="7"/>
  <c r="I84" i="7"/>
  <c r="I73" i="7"/>
  <c r="I52" i="7"/>
  <c r="I41" i="7"/>
  <c r="I107" i="7"/>
  <c r="I43" i="7"/>
  <c r="I259" i="7"/>
  <c r="I50" i="7"/>
  <c r="I120" i="7"/>
  <c r="I240" i="7"/>
  <c r="I176" i="7"/>
  <c r="I214" i="7"/>
  <c r="I232" i="7"/>
  <c r="I168" i="7"/>
  <c r="I247" i="7"/>
  <c r="I199" i="7"/>
  <c r="I183" i="7"/>
  <c r="I152" i="7"/>
  <c r="I249" i="7"/>
  <c r="I217" i="7"/>
  <c r="I185" i="7"/>
  <c r="I153" i="7"/>
  <c r="I145" i="7"/>
  <c r="I157" i="7"/>
  <c r="I131" i="7"/>
  <c r="I198" i="7"/>
  <c r="I250" i="7"/>
  <c r="I218" i="7"/>
  <c r="I186" i="7"/>
  <c r="I150" i="7"/>
  <c r="I166" i="7"/>
  <c r="I261" i="7"/>
  <c r="I192" i="7"/>
  <c r="I256" i="7"/>
  <c r="I184" i="7"/>
  <c r="I229" i="7"/>
  <c r="I197" i="7"/>
  <c r="I165" i="7"/>
  <c r="I238" i="7"/>
  <c r="I190" i="7"/>
  <c r="I242" i="7"/>
  <c r="I210" i="7"/>
  <c r="I178" i="7"/>
  <c r="I257" i="7"/>
  <c r="I225" i="7"/>
  <c r="I193" i="7"/>
  <c r="I161" i="7"/>
  <c r="I273" i="7"/>
  <c r="I154" i="7"/>
  <c r="I222" i="7"/>
  <c r="I253" i="7"/>
  <c r="I221" i="7"/>
  <c r="I189" i="7"/>
  <c r="I254" i="7"/>
  <c r="I270" i="7"/>
  <c r="I245" i="7"/>
  <c r="I213" i="7"/>
  <c r="I181" i="7"/>
  <c r="I266" i="7"/>
  <c r="I182" i="7"/>
  <c r="I234" i="7"/>
  <c r="I202" i="7"/>
  <c r="I170" i="7"/>
  <c r="I30" i="7" l="1"/>
  <c r="G30" i="7" l="1"/>
  <c r="F30" i="7" s="1"/>
  <c r="L58" i="6" s="1"/>
  <c r="B30" i="7" l="1"/>
  <c r="L55" i="6" s="1"/>
  <c r="F62" i="6" s="1"/>
  <c r="E30" i="7"/>
  <c r="L56" i="6" s="1"/>
  <c r="N58" i="6"/>
  <c r="N55" i="11"/>
  <c r="E71" i="6" l="1"/>
  <c r="E72" i="6" s="1"/>
  <c r="F63" i="6"/>
  <c r="N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Lükewille</author>
  </authors>
  <commentList>
    <comment ref="L55" authorId="0" shapeId="0" xr:uid="{00000000-0006-0000-0200-000001000000}">
      <text>
        <r>
          <rPr>
            <sz val="9"/>
            <color indexed="81"/>
            <rFont val="Segoe UI"/>
            <family val="2"/>
          </rPr>
          <t>Wenn Wert &gt; 120 min, keine sinnvolle Berechnung möglich !
Für die Berechnung beträgt die minimale Regendauer 10 min.</t>
        </r>
      </text>
    </comment>
    <comment ref="L56" authorId="0" shapeId="0" xr:uid="{00000000-0006-0000-0200-000002000000}">
      <text>
        <r>
          <rPr>
            <sz val="9"/>
            <color indexed="81"/>
            <rFont val="Segoe UI"/>
            <family val="2"/>
          </rPr>
          <t>Wert dient als Info, bei welcher Intensität das massgebende Volumen resultiert und kann von bekannten Standardwerten abweichen.</t>
        </r>
      </text>
    </comment>
    <comment ref="L58" authorId="0" shapeId="0" xr:uid="{00000000-0006-0000-0200-000003000000}">
      <text>
        <r>
          <rPr>
            <sz val="9"/>
            <color indexed="81"/>
            <rFont val="Segoe UI"/>
            <family val="2"/>
          </rPr>
          <t xml:space="preserve">Wert zum Zeitpunkt, wenn das max. erforderliche Retentionsvolumen entsteht. Entspricht i.d.R. nicht dem max. Zulaufwert über die gesamte Regendauer.
</t>
        </r>
      </text>
    </comment>
    <comment ref="L60" authorId="0" shapeId="0" xr:uid="{F0F17B82-E29A-460B-BD73-414D681CD75A}">
      <text>
        <r>
          <rPr>
            <sz val="9"/>
            <color indexed="81"/>
            <rFont val="Segoe UI"/>
            <family val="2"/>
          </rPr>
          <t>Wert dient als Info, bei welcher Intensität das massgebende Volumen resultiert und kann von bekannten Standardwerten abweichen.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Frank Lükewille</author>
  </authors>
  <commentList>
    <comment ref="L55" authorId="0" shapeId="0" xr:uid="{56F2A2E1-76ED-40C4-8D10-559F65DDEFEB}">
      <text>
        <r>
          <rPr>
            <sz val="9"/>
            <color indexed="81"/>
            <rFont val="Segoe UI"/>
            <family val="2"/>
          </rPr>
          <t>Wenn Wert &gt; 120 min, keine sinnvolle Berechnung möglich !
Für die Berechnung beträgt die minimale Regendauer 10 min.</t>
        </r>
      </text>
    </comment>
    <comment ref="L56" authorId="0" shapeId="0" xr:uid="{5B60B1B9-DDA0-464A-A006-B82B7C1D66D1}">
      <text>
        <r>
          <rPr>
            <sz val="9"/>
            <color indexed="81"/>
            <rFont val="Segoe UI"/>
            <family val="2"/>
          </rPr>
          <t>Wert dient als Info, bei welcher Intensität das massgebende Volumen resultiert und kann von bekannten Standardwerten abweichen.</t>
        </r>
      </text>
    </comment>
    <comment ref="L58" authorId="0" shapeId="0" xr:uid="{59D5CD09-688E-47FB-B528-47A9C9C4676F}">
      <text>
        <r>
          <rPr>
            <sz val="9"/>
            <color indexed="81"/>
            <rFont val="Segoe UI"/>
            <family val="2"/>
          </rPr>
          <t xml:space="preserve">Wert zum Zeitpunkt, wenn das max. erforderliche Retentionsvolumen entsteht. Entspricht i.d.R. nicht dem max. Zulaufwert über die gesamte Regendauer.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Frank Lükewille</author>
  </authors>
  <commentList>
    <comment ref="B8" authorId="0" shapeId="0" xr:uid="{892E5932-3E4E-4C2A-BC62-0BDA61CBA3BD}">
      <text>
        <r>
          <rPr>
            <b/>
            <sz val="9"/>
            <color indexed="81"/>
            <rFont val="Segoe UI"/>
            <family val="2"/>
          </rPr>
          <t>Frank Lükewille:</t>
        </r>
        <r>
          <rPr>
            <sz val="9"/>
            <color indexed="81"/>
            <rFont val="Segoe UI"/>
            <family val="2"/>
          </rPr>
          <t xml:space="preserve">
Wert wird von Frontseite übernommen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Frank Lükewille</author>
  </authors>
  <commentList>
    <comment ref="B8" authorId="0" shapeId="0" xr:uid="{00000000-0006-0000-0600-000001000000}">
      <text>
        <r>
          <rPr>
            <b/>
            <sz val="9"/>
            <color indexed="81"/>
            <rFont val="Segoe UI"/>
            <family val="2"/>
          </rPr>
          <t>Frank Lükewille:</t>
        </r>
        <r>
          <rPr>
            <sz val="9"/>
            <color indexed="81"/>
            <rFont val="Segoe UI"/>
            <family val="2"/>
          </rPr>
          <t xml:space="preserve">
Wert wird von Frontseite übernommen</t>
        </r>
      </text>
    </comment>
    <comment ref="E30" authorId="0" shapeId="0" xr:uid="{00000000-0006-0000-0600-000003000000}">
      <text>
        <r>
          <rPr>
            <b/>
            <sz val="9"/>
            <color indexed="81"/>
            <rFont val="Segoe UI"/>
            <family val="2"/>
          </rPr>
          <t>Frank Lükewille:</t>
        </r>
        <r>
          <rPr>
            <sz val="9"/>
            <color indexed="81"/>
            <rFont val="Segoe UI"/>
            <family val="2"/>
          </rPr>
          <t xml:space="preserve">
zugehörige Regenintensität zum Max-Wert</t>
        </r>
      </text>
    </comment>
    <comment ref="F30" authorId="0" shapeId="0" xr:uid="{00000000-0006-0000-0600-000004000000}">
      <text>
        <r>
          <rPr>
            <b/>
            <sz val="9"/>
            <color indexed="81"/>
            <rFont val="Segoe UI"/>
            <family val="2"/>
          </rPr>
          <t>Frank Lükewille:</t>
        </r>
        <r>
          <rPr>
            <sz val="9"/>
            <color indexed="81"/>
            <rFont val="Segoe UI"/>
            <family val="2"/>
          </rPr>
          <t xml:space="preserve">
zugehörige Regenzulauf zum Max-Wert</t>
        </r>
      </text>
    </comment>
    <comment ref="G30" authorId="0" shapeId="0" xr:uid="{00000000-0006-0000-0600-000005000000}">
      <text>
        <r>
          <rPr>
            <b/>
            <sz val="9"/>
            <color indexed="81"/>
            <rFont val="Segoe UI"/>
            <family val="2"/>
          </rPr>
          <t>Frank Lükewille:</t>
        </r>
        <r>
          <rPr>
            <sz val="9"/>
            <color indexed="81"/>
            <rFont val="Segoe UI"/>
            <family val="2"/>
          </rPr>
          <t xml:space="preserve">
zugehörige Zeile innerhalb der Matrix zum Max-Wert</t>
        </r>
      </text>
    </comment>
    <comment ref="I30" authorId="0" shapeId="0" xr:uid="{00000000-0006-0000-0600-000006000000}">
      <text>
        <r>
          <rPr>
            <b/>
            <sz val="9"/>
            <color indexed="81"/>
            <rFont val="Segoe UI"/>
            <family val="2"/>
          </rPr>
          <t>Frank Lükewille:</t>
        </r>
        <r>
          <rPr>
            <sz val="9"/>
            <color indexed="81"/>
            <rFont val="Segoe UI"/>
            <family val="2"/>
          </rPr>
          <t xml:space="preserve">
Max-Wert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Frank Lükewille</author>
  </authors>
  <commentList>
    <comment ref="B8" authorId="0" shapeId="0" xr:uid="{775AEB7C-EEDC-4121-931F-92E1F0880E2F}">
      <text>
        <r>
          <rPr>
            <b/>
            <sz val="9"/>
            <color indexed="81"/>
            <rFont val="Segoe UI"/>
            <family val="2"/>
          </rPr>
          <t>Frank Lükewille:</t>
        </r>
        <r>
          <rPr>
            <sz val="9"/>
            <color indexed="81"/>
            <rFont val="Segoe UI"/>
            <family val="2"/>
          </rPr>
          <t xml:space="preserve">
Wert wird von Frontseite übernommen</t>
        </r>
      </text>
    </comment>
    <comment ref="E30" authorId="0" shapeId="0" xr:uid="{82735EA6-72CF-4C7C-99CA-2057DE28AE58}">
      <text>
        <r>
          <rPr>
            <b/>
            <sz val="9"/>
            <color indexed="81"/>
            <rFont val="Segoe UI"/>
            <family val="2"/>
          </rPr>
          <t>Frank Lükewille:</t>
        </r>
        <r>
          <rPr>
            <sz val="9"/>
            <color indexed="81"/>
            <rFont val="Segoe UI"/>
            <family val="2"/>
          </rPr>
          <t xml:space="preserve">
zugehörige Regenintensität zum Max-Wert</t>
        </r>
      </text>
    </comment>
    <comment ref="F30" authorId="0" shapeId="0" xr:uid="{C3288D12-B2F7-45E3-8CCD-8C491A498711}">
      <text>
        <r>
          <rPr>
            <b/>
            <sz val="9"/>
            <color indexed="81"/>
            <rFont val="Segoe UI"/>
            <family val="2"/>
          </rPr>
          <t>Frank Lükewille:</t>
        </r>
        <r>
          <rPr>
            <sz val="9"/>
            <color indexed="81"/>
            <rFont val="Segoe UI"/>
            <family val="2"/>
          </rPr>
          <t xml:space="preserve">
zugehörige Regenzulauf zum Max-Wert</t>
        </r>
      </text>
    </comment>
    <comment ref="G30" authorId="0" shapeId="0" xr:uid="{7495FB07-94BB-41FC-B0A0-42C35D5414B3}">
      <text>
        <r>
          <rPr>
            <b/>
            <sz val="9"/>
            <color indexed="81"/>
            <rFont val="Segoe UI"/>
            <family val="2"/>
          </rPr>
          <t>Frank Lükewille:</t>
        </r>
        <r>
          <rPr>
            <sz val="9"/>
            <color indexed="81"/>
            <rFont val="Segoe UI"/>
            <family val="2"/>
          </rPr>
          <t xml:space="preserve">
zugehörige Zeile innerhalb der Matrix zum Max-Wert</t>
        </r>
      </text>
    </comment>
    <comment ref="I30" authorId="0" shapeId="0" xr:uid="{FEC07BFA-2CE6-4F5E-B035-08312C7F62C6}">
      <text>
        <r>
          <rPr>
            <b/>
            <sz val="9"/>
            <color indexed="81"/>
            <rFont val="Segoe UI"/>
            <family val="2"/>
          </rPr>
          <t>Frank Lükewille:</t>
        </r>
        <r>
          <rPr>
            <sz val="9"/>
            <color indexed="81"/>
            <rFont val="Segoe UI"/>
            <family val="2"/>
          </rPr>
          <t xml:space="preserve">
Max-Wert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0A9B6E3-3F90-45EA-9A11-E79A4DF537D1}" keepAlive="1" name="Abfrage - Tabelle1" description="Verbindung mit der Abfrage 'Tabelle1' in der Arbeitsmappe." type="5" refreshedVersion="0" background="1">
    <dbPr connection="Provider=Microsoft.Mashup.OleDb.1;Data Source=$Workbook$;Location=Tabelle1;Extended Properties=&quot;&quot;" command="SELECT * FROM [Tabelle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<sst xmlns="http://schemas.openxmlformats.org/spreadsheetml/2006/main" count="3263" uniqueCount="818">
  <si>
    <t>Nr.</t>
  </si>
  <si>
    <t>Gemeinde</t>
  </si>
  <si>
    <t>z = 1</t>
  </si>
  <si>
    <t>z = 2</t>
  </si>
  <si>
    <t>z = 5</t>
  </si>
  <si>
    <t>z = 10</t>
  </si>
  <si>
    <t>Gewerbe-Industriezone GIA</t>
  </si>
  <si>
    <t>Gewerbe-Industriezone GIB</t>
  </si>
  <si>
    <t>Gewerbe-Industriezone GIC</t>
  </si>
  <si>
    <t>Industriezone I A</t>
  </si>
  <si>
    <t>Industriezone I B</t>
  </si>
  <si>
    <t>Industriezone I C</t>
  </si>
  <si>
    <t>Kernzone Altstadt KA, KE</t>
  </si>
  <si>
    <t>Dorfkernzone DK2</t>
  </si>
  <si>
    <t>Dorfkernzone DK3</t>
  </si>
  <si>
    <t>Zone für öffentliche Bauten und Anlagen</t>
  </si>
  <si>
    <t>Grünzone a (Freihaltung)</t>
  </si>
  <si>
    <t>Grünzone b (Erholung)</t>
  </si>
  <si>
    <t>Grünzone c (Naturschutz)</t>
  </si>
  <si>
    <t>Grünzone d (Gewässerschutz)</t>
  </si>
  <si>
    <t>Kurzone Kur</t>
  </si>
  <si>
    <t>Kurzone Kur A</t>
  </si>
  <si>
    <t>Kurzone Kur B</t>
  </si>
  <si>
    <t>Weilerzone WL</t>
  </si>
  <si>
    <t>Landwirtschaftszone L</t>
  </si>
  <si>
    <t>Intensivlandwirtschaftszone LI</t>
  </si>
  <si>
    <t>Übriges Gemeindegebiet ueG (Verkehr)</t>
  </si>
  <si>
    <t>Übriges Gemeindegebiet ueG</t>
  </si>
  <si>
    <t>Grundnutzungsflaeche_zone</t>
  </si>
  <si>
    <t>St.Gallen</t>
  </si>
  <si>
    <t>Wittenbach</t>
  </si>
  <si>
    <t>Häggenschwil</t>
  </si>
  <si>
    <t>Muolen</t>
  </si>
  <si>
    <t>Mörschwil</t>
  </si>
  <si>
    <t>Goldach</t>
  </si>
  <si>
    <t>Steinach</t>
  </si>
  <si>
    <t>Berg</t>
  </si>
  <si>
    <t>Tübach</t>
  </si>
  <si>
    <t>Untereggen</t>
  </si>
  <si>
    <t>Eggersriet</t>
  </si>
  <si>
    <t>Rorschacherberg</t>
  </si>
  <si>
    <t>Rorschach</t>
  </si>
  <si>
    <t>Thal</t>
  </si>
  <si>
    <t>Rheineck</t>
  </si>
  <si>
    <t>St.Margrethen</t>
  </si>
  <si>
    <t>Au</t>
  </si>
  <si>
    <t>Berneck</t>
  </si>
  <si>
    <t>Balgach</t>
  </si>
  <si>
    <t>Diepoldsau</t>
  </si>
  <si>
    <t>Widnau</t>
  </si>
  <si>
    <t>Rebstein</t>
  </si>
  <si>
    <t>Marbach</t>
  </si>
  <si>
    <t>Altstätten</t>
  </si>
  <si>
    <t>Eichberg</t>
  </si>
  <si>
    <t>Oberriet</t>
  </si>
  <si>
    <t>Rüthi</t>
  </si>
  <si>
    <t>Sennwald</t>
  </si>
  <si>
    <t>Gams</t>
  </si>
  <si>
    <t>Grabs</t>
  </si>
  <si>
    <t>Buchs</t>
  </si>
  <si>
    <t>Sevelen</t>
  </si>
  <si>
    <t>Wartau</t>
  </si>
  <si>
    <t>Sargans</t>
  </si>
  <si>
    <t>Vilters-Wangs</t>
  </si>
  <si>
    <t>Bad Ragaz</t>
  </si>
  <si>
    <t>Pfäfers</t>
  </si>
  <si>
    <t>Mels</t>
  </si>
  <si>
    <t>Flums</t>
  </si>
  <si>
    <t>Walenstadt</t>
  </si>
  <si>
    <t>Quarten</t>
  </si>
  <si>
    <t>Amden</t>
  </si>
  <si>
    <t>Weesen</t>
  </si>
  <si>
    <t>Schänis</t>
  </si>
  <si>
    <t>Benken</t>
  </si>
  <si>
    <t>Kaltbrunn</t>
  </si>
  <si>
    <t>Gommiswald</t>
  </si>
  <si>
    <t>Uznach</t>
  </si>
  <si>
    <t>Schmerikon</t>
  </si>
  <si>
    <t>Rapperswil-Jona</t>
  </si>
  <si>
    <t>Eschenbach</t>
  </si>
  <si>
    <t>Wildhaus-Alt St.Johann</t>
  </si>
  <si>
    <t>Nesslau</t>
  </si>
  <si>
    <t>Ebnat-Kappel</t>
  </si>
  <si>
    <t>Wattwil</t>
  </si>
  <si>
    <t>Lichtensteig</t>
  </si>
  <si>
    <t>Neckertal</t>
  </si>
  <si>
    <t>Bütschwil-Ganterschwil</t>
  </si>
  <si>
    <t>Lütisburg</t>
  </si>
  <si>
    <t>Mosnang</t>
  </si>
  <si>
    <t>Kirchberg</t>
  </si>
  <si>
    <t>Jonschwil</t>
  </si>
  <si>
    <t>Oberuzwil</t>
  </si>
  <si>
    <t>Uzwil</t>
  </si>
  <si>
    <t>Flawil</t>
  </si>
  <si>
    <t>Degersheim</t>
  </si>
  <si>
    <t>Wil</t>
  </si>
  <si>
    <t>Zuzwil</t>
  </si>
  <si>
    <t>Oberbüren</t>
  </si>
  <si>
    <t>Niederbüren</t>
  </si>
  <si>
    <t>Niederhelfenschwil</t>
  </si>
  <si>
    <t>Gossau</t>
  </si>
  <si>
    <t>Andwil</t>
  </si>
  <si>
    <t>Waldkirch</t>
  </si>
  <si>
    <t>Gaiserwald</t>
  </si>
  <si>
    <t>berechnete Werte</t>
  </si>
  <si>
    <t>Eingabe durch Anwender</t>
  </si>
  <si>
    <t>cm</t>
  </si>
  <si>
    <r>
      <t xml:space="preserve">z.B. Rundloch </t>
    </r>
    <r>
      <rPr>
        <sz val="10"/>
        <rFont val="Calibri"/>
        <family val="2"/>
      </rPr>
      <t>Ø</t>
    </r>
  </si>
  <si>
    <r>
      <t>cm</t>
    </r>
    <r>
      <rPr>
        <vertAlign val="superscript"/>
        <sz val="10"/>
        <rFont val="Arial"/>
        <family val="2"/>
      </rPr>
      <t>2</t>
    </r>
  </si>
  <si>
    <t>(angesetzt wird die halbe Druckhöhe als Mittelwert)</t>
  </si>
  <si>
    <t>(bei Verwendung einer einfachen Drosselblende statt Schieber, Ventil etc.)</t>
  </si>
  <si>
    <t>Dimensionierung Drosselöffnung</t>
  </si>
  <si>
    <t>min</t>
  </si>
  <si>
    <r>
      <t>m</t>
    </r>
    <r>
      <rPr>
        <b/>
        <vertAlign val="superscript"/>
        <sz val="11"/>
        <rFont val="Arial"/>
        <family val="2"/>
      </rPr>
      <t>3</t>
    </r>
  </si>
  <si>
    <r>
      <t>l/s*ha</t>
    </r>
    <r>
      <rPr>
        <vertAlign val="subscript"/>
        <sz val="10"/>
        <rFont val="Arial"/>
        <family val="2"/>
      </rPr>
      <t>red</t>
    </r>
  </si>
  <si>
    <r>
      <t>spezifischer Abfluss q</t>
    </r>
    <r>
      <rPr>
        <vertAlign val="subscript"/>
        <sz val="10"/>
        <rFont val="Arial"/>
        <family val="2"/>
      </rPr>
      <t>ab</t>
    </r>
  </si>
  <si>
    <t>(Drosselwert)</t>
  </si>
  <si>
    <t>l/s</t>
  </si>
  <si>
    <t>l/s*ha</t>
  </si>
  <si>
    <t>Regendauer</t>
  </si>
  <si>
    <t>Standard z=5</t>
  </si>
  <si>
    <t>Jährlichkeit</t>
  </si>
  <si>
    <r>
      <t>Total [m</t>
    </r>
    <r>
      <rPr>
        <vertAlign val="superscript"/>
        <sz val="10"/>
        <rFont val="Arial"/>
        <family val="2"/>
      </rPr>
      <t>2</t>
    </r>
    <r>
      <rPr>
        <sz val="10"/>
        <rFont val="Arial"/>
        <family val="2"/>
      </rPr>
      <t>]</t>
    </r>
  </si>
  <si>
    <t>Wiesland / Garten</t>
  </si>
  <si>
    <t>Rasengittersteine</t>
  </si>
  <si>
    <t>Kiesbelag (Chaussierung)</t>
  </si>
  <si>
    <t>Pflästerung / Verbundsteine (geschlossene Fugen)</t>
  </si>
  <si>
    <t>Plätze / Wege</t>
  </si>
  <si>
    <t>Flachdach Blech / Beton</t>
  </si>
  <si>
    <t>Flachdach Kies</t>
  </si>
  <si>
    <t>Schrägdach Blech, Eternit, Glas</t>
  </si>
  <si>
    <t>Schrägdach Ziegel</t>
  </si>
  <si>
    <t>Dächer</t>
  </si>
  <si>
    <r>
      <t xml:space="preserve"> [m</t>
    </r>
    <r>
      <rPr>
        <vertAlign val="superscript"/>
        <sz val="10"/>
        <rFont val="Arial"/>
        <family val="2"/>
      </rPr>
      <t>2</t>
    </r>
    <r>
      <rPr>
        <sz val="10"/>
        <rFont val="Arial"/>
        <family val="2"/>
      </rPr>
      <t>]</t>
    </r>
  </si>
  <si>
    <t xml:space="preserve"> [-]</t>
  </si>
  <si>
    <r>
      <t>Red. Fläche A</t>
    </r>
    <r>
      <rPr>
        <vertAlign val="subscript"/>
        <sz val="10"/>
        <rFont val="Arial"/>
        <family val="2"/>
      </rPr>
      <t>red</t>
    </r>
  </si>
  <si>
    <t>Fläche A</t>
  </si>
  <si>
    <t>Projektverfasser:</t>
  </si>
  <si>
    <t>Datum:</t>
  </si>
  <si>
    <t>Bauherr:</t>
  </si>
  <si>
    <t>Bauzone:</t>
  </si>
  <si>
    <t>Adresse:</t>
  </si>
  <si>
    <t>Objekt:</t>
  </si>
  <si>
    <t>Gemeinde:</t>
  </si>
  <si>
    <t>Objektdaten</t>
  </si>
  <si>
    <t>Grundstückfläche:</t>
  </si>
  <si>
    <t>Regenregion</t>
  </si>
  <si>
    <t>mm/h</t>
  </si>
  <si>
    <t>h</t>
  </si>
  <si>
    <t>Ret_Volumen</t>
  </si>
  <si>
    <t>ableitbares Q</t>
  </si>
  <si>
    <t>Regenmenge</t>
  </si>
  <si>
    <t>i(t,T)</t>
  </si>
  <si>
    <t>erforderliches Ret. Volumen</t>
  </si>
  <si>
    <t>Regendauer Tmax</t>
  </si>
  <si>
    <t>Eingabe in Dropdownfeld auf Frontseite</t>
  </si>
  <si>
    <r>
      <t>Berechnet: Q</t>
    </r>
    <r>
      <rPr>
        <vertAlign val="subscript"/>
        <sz val="10"/>
        <rFont val="Arial"/>
        <family val="2"/>
      </rPr>
      <t>ab</t>
    </r>
    <r>
      <rPr>
        <sz val="10"/>
        <rFont val="Arial"/>
        <family val="2"/>
      </rPr>
      <t xml:space="preserve"> / F</t>
    </r>
    <r>
      <rPr>
        <vertAlign val="subscript"/>
        <sz val="10"/>
        <rFont val="Arial"/>
        <family val="2"/>
      </rPr>
      <t>red</t>
    </r>
  </si>
  <si>
    <r>
      <t>l/(s*ha</t>
    </r>
    <r>
      <rPr>
        <vertAlign val="subscript"/>
        <sz val="10"/>
        <rFont val="Arial"/>
        <family val="2"/>
      </rPr>
      <t>red</t>
    </r>
    <r>
      <rPr>
        <sz val="10"/>
        <rFont val="Arial"/>
        <family val="2"/>
      </rPr>
      <t>)</t>
    </r>
  </si>
  <si>
    <t>aus Register "Retentionsanlage"</t>
  </si>
  <si>
    <r>
      <t>ha</t>
    </r>
    <r>
      <rPr>
        <vertAlign val="subscript"/>
        <sz val="10"/>
        <rFont val="Arial"/>
        <family val="2"/>
      </rPr>
      <t>red</t>
    </r>
  </si>
  <si>
    <r>
      <t>Fläche reduziert F</t>
    </r>
    <r>
      <rPr>
        <vertAlign val="subscript"/>
        <sz val="10"/>
        <rFont val="Arial"/>
        <family val="2"/>
      </rPr>
      <t>red</t>
    </r>
  </si>
  <si>
    <t>ha</t>
  </si>
  <si>
    <t>Gemeinde Nr.</t>
  </si>
  <si>
    <t>Bemerkungen</t>
  </si>
  <si>
    <t>Anlagedaten:</t>
  </si>
  <si>
    <t>Dimensionierung Retentionsanlage</t>
  </si>
  <si>
    <t>Flachdach begrünt (Aufbaudicke &gt; 50 cm)</t>
  </si>
  <si>
    <t>Hartbelag (Asphaltbeläge / Beton)</t>
  </si>
  <si>
    <t>Sickerfähige Asphalt</t>
  </si>
  <si>
    <t>Pflästerung / Verbundsteine (Splittfugenanteil 3 - 6%)</t>
  </si>
  <si>
    <t>Pflästerung / Verbundsteine (Splittfugenanteil 6 - 12%)</t>
  </si>
  <si>
    <t>Wasserdurchlässige Pflastersteine (Sickersteine)</t>
  </si>
  <si>
    <t xml:space="preserve">Sportflächen mit Drainleitungen - Kunststoffflächen, Kunststoffrasen  </t>
  </si>
  <si>
    <t xml:space="preserve">Sportflächen mit Drainleitungen - Rasenflächen  </t>
  </si>
  <si>
    <r>
      <t>Dimensionierung Retention</t>
    </r>
    <r>
      <rPr>
        <sz val="9"/>
        <rFont val="Arial"/>
        <family val="2"/>
      </rPr>
      <t xml:space="preserve"> </t>
    </r>
  </si>
  <si>
    <t>D</t>
  </si>
  <si>
    <t>[min]</t>
  </si>
  <si>
    <t>[l/s ha]</t>
  </si>
  <si>
    <t>Massgebender Regen</t>
  </si>
  <si>
    <t>Spalte</t>
  </si>
  <si>
    <t>Reihe</t>
  </si>
  <si>
    <t>Spalte (Regengebiet &amp; Jährlichkeit)</t>
  </si>
  <si>
    <t>Gedeckelt auf max. 5min</t>
  </si>
  <si>
    <t>Regenspende für Drosselung</t>
  </si>
  <si>
    <t>Min.</t>
  </si>
  <si>
    <t>Grundatz Regenintensität für</t>
  </si>
  <si>
    <t>ja nach Jährlichkeit (in SN 592000 auch relevante Regendauer (Kap. 7.3.3)</t>
  </si>
  <si>
    <t>Wohnzone WE/W2a</t>
  </si>
  <si>
    <t>Wohnzone W2/W2b/W2c</t>
  </si>
  <si>
    <t>Wohnzone W3</t>
  </si>
  <si>
    <t>Wohnzone W4</t>
  </si>
  <si>
    <t>Wohnzone W5</t>
  </si>
  <si>
    <t>Wohn-Gewerbezone WG2</t>
  </si>
  <si>
    <t>Wohn-Gewerbezone WG3</t>
  </si>
  <si>
    <t>Wohn-Gewerbezone WG4</t>
  </si>
  <si>
    <t>Wohn-Gewerbezone WG5</t>
  </si>
  <si>
    <t>Kernzone K2</t>
  </si>
  <si>
    <t>Kernzone K3</t>
  </si>
  <si>
    <t>Kernzone K4</t>
  </si>
  <si>
    <t>Kernzone K5</t>
  </si>
  <si>
    <t>Intensiverholungszone Sportanlage / Reitsport</t>
  </si>
  <si>
    <t>Intensiverholungszone Camping / Transportanlage / Transportanlage-Beherbergung / Freizeit</t>
  </si>
  <si>
    <t xml:space="preserve">Grünzone </t>
  </si>
  <si>
    <t>[l/s]</t>
  </si>
  <si>
    <t>Sohlenbeschaffenheit</t>
  </si>
  <si>
    <t>Gewässertyp</t>
  </si>
  <si>
    <t>überwiegend kiesig</t>
  </si>
  <si>
    <t>Zulässigkeitsprüfung hydraulische Belastung</t>
  </si>
  <si>
    <t>Art der zu entwässernden Fläche</t>
  </si>
  <si>
    <t>Belastungsklasse</t>
  </si>
  <si>
    <t>überwiegend Feinsediment</t>
  </si>
  <si>
    <t>überwiegend steinig</t>
  </si>
  <si>
    <t>überwiegend blockig</t>
  </si>
  <si>
    <t>kleiner Mittellandbach</t>
  </si>
  <si>
    <t>grosser Mittellandbach</t>
  </si>
  <si>
    <t>kleiner Voralpenbach</t>
  </si>
  <si>
    <t>grosser Voralpenbach</t>
  </si>
  <si>
    <t>grössere Fliessgewässer</t>
  </si>
  <si>
    <t>fs</t>
  </si>
  <si>
    <t>fg</t>
  </si>
  <si>
    <t>hydraulisches Einleitverhältnis</t>
  </si>
  <si>
    <t>gewässerspez. hydraulisches Einleitverhältnis</t>
  </si>
  <si>
    <t xml:space="preserve">V = </t>
  </si>
  <si>
    <t>Behandlung erforderlich, wenn Fläche des entwässerten Platzes grösser als…</t>
  </si>
  <si>
    <t>Art des Vorfluters</t>
  </si>
  <si>
    <t>Abflussmenge bei Niederwasser</t>
  </si>
  <si>
    <r>
      <t>Q</t>
    </r>
    <r>
      <rPr>
        <vertAlign val="subscript"/>
        <sz val="9"/>
        <rFont val="Univers 45 Light"/>
      </rPr>
      <t>347</t>
    </r>
    <r>
      <rPr>
        <sz val="9"/>
        <rFont val="Univers 45 Light"/>
      </rPr>
      <t xml:space="preserve"> [l/s]</t>
    </r>
  </si>
  <si>
    <r>
      <t xml:space="preserve"> A</t>
    </r>
    <r>
      <rPr>
        <vertAlign val="subscript"/>
        <sz val="9"/>
        <rFont val="Univers 45 Light"/>
      </rPr>
      <t xml:space="preserve">red, zul </t>
    </r>
    <r>
      <rPr>
        <sz val="9"/>
        <rFont val="Univers 45 Light"/>
      </rPr>
      <t>[m</t>
    </r>
    <r>
      <rPr>
        <vertAlign val="superscript"/>
        <sz val="9"/>
        <rFont val="Univers 45 Light"/>
      </rPr>
      <t>2</t>
    </r>
    <r>
      <rPr>
        <sz val="9"/>
        <rFont val="Univers 45 Light"/>
      </rPr>
      <t>]</t>
    </r>
  </si>
  <si>
    <t>stehendes Gewässer</t>
  </si>
  <si>
    <t>Min</t>
  </si>
  <si>
    <t>Max</t>
  </si>
  <si>
    <t>-</t>
  </si>
  <si>
    <t>Bemerkung:</t>
  </si>
  <si>
    <t>Belastungsklasse des Niederschlagsabwassers</t>
  </si>
  <si>
    <t>gering</t>
  </si>
  <si>
    <t>mittel</t>
  </si>
  <si>
    <t>hoch</t>
  </si>
  <si>
    <t>Zulässigkeit einer Einleitung in Bezug auf die Wasserqualität</t>
  </si>
  <si>
    <t>Einleitung in ein Gewässer oder in eine Meteorwasserkanalisation ohne Behandlung zulässig</t>
  </si>
  <si>
    <t>B</t>
  </si>
  <si>
    <t>t</t>
  </si>
  <si>
    <t>Erläuterung</t>
  </si>
  <si>
    <t>Dachflächen</t>
  </si>
  <si>
    <t>Platz- und Verkehrsflächen</t>
  </si>
  <si>
    <t>oB</t>
  </si>
  <si>
    <t>B t</t>
  </si>
  <si>
    <t>sehr kleiner Bach (&lt; 3l/s)</t>
  </si>
  <si>
    <t>kleiner Bach (3 - 10 l/s)</t>
  </si>
  <si>
    <t>mittlerer Bach (10 - 30 l/s)</t>
  </si>
  <si>
    <t>grosser Bach (&gt; 30 l/s)</t>
  </si>
  <si>
    <t>aus Register "Versickerungsanlage"</t>
  </si>
  <si>
    <t>Sickerfläche</t>
  </si>
  <si>
    <t>Sickerleistung</t>
  </si>
  <si>
    <t>berechnet</t>
  </si>
  <si>
    <t>Standard z=10</t>
  </si>
  <si>
    <r>
      <t>l/min*m</t>
    </r>
    <r>
      <rPr>
        <vertAlign val="superscript"/>
        <sz val="10"/>
        <rFont val="Arial"/>
        <family val="2"/>
      </rPr>
      <t>2</t>
    </r>
  </si>
  <si>
    <r>
      <t>m</t>
    </r>
    <r>
      <rPr>
        <vertAlign val="superscript"/>
        <sz val="10"/>
        <rFont val="Arial"/>
        <family val="2"/>
      </rPr>
      <t>2</t>
    </r>
  </si>
  <si>
    <r>
      <t>Dimensionierung Versickerung</t>
    </r>
    <r>
      <rPr>
        <sz val="9"/>
        <rFont val="Arial"/>
        <family val="2"/>
      </rPr>
      <t xml:space="preserve"> </t>
    </r>
  </si>
  <si>
    <t>z.B.</t>
  </si>
  <si>
    <t>Kieskörper unterirdisch</t>
  </si>
  <si>
    <t>Kiesvolumen</t>
  </si>
  <si>
    <t>Schachtversickerung</t>
  </si>
  <si>
    <t>Schacht-/Poren-</t>
  </si>
  <si>
    <t>volumen</t>
  </si>
  <si>
    <t>Muldenversickerung</t>
  </si>
  <si>
    <t>erforderliche Tiefe</t>
  </si>
  <si>
    <t>Dimensionierungsbeispiel Versickerungskörper</t>
  </si>
  <si>
    <t>versickerbares Q</t>
  </si>
  <si>
    <t>Vers. Volumen</t>
  </si>
  <si>
    <t>erforderliches Vers. Volumen</t>
  </si>
  <si>
    <t>Wiesland / Garten nicht abflussrelevant</t>
  </si>
  <si>
    <t>Wiesland / Garten abflussrelevant (flach)</t>
  </si>
  <si>
    <t>Massgebende Regenmessstation</t>
  </si>
  <si>
    <t xml:space="preserve">Einleitung in ein oberirdisches Gewässer oder in eine Meteorwasserkanalisation nur mit vorgeschalteter technischer Behandlungsanlage der Anforderungsstufe «erhöht» (z.B. Adsorber). Notwendigkeit Gewässeruntersuchung in Absprache mit AFU/AWE. </t>
  </si>
  <si>
    <t>Dimensionierung Einleitung von Niederschlagsabwasser in Fliessgewässer</t>
  </si>
  <si>
    <t>Dimensionierung Versickerungsanlage</t>
  </si>
  <si>
    <t>m</t>
  </si>
  <si>
    <t>Regenspende</t>
  </si>
  <si>
    <t>Gering</t>
  </si>
  <si>
    <t>Stark</t>
  </si>
  <si>
    <t>Mässig</t>
  </si>
  <si>
    <t>Jona</t>
  </si>
  <si>
    <t>aus Register "EinleitungInGewaesser"</t>
  </si>
  <si>
    <r>
      <t>V</t>
    </r>
    <r>
      <rPr>
        <vertAlign val="subscript"/>
        <sz val="10"/>
        <rFont val="Arial"/>
        <family val="2"/>
      </rPr>
      <t>G</t>
    </r>
    <r>
      <rPr>
        <sz val="10"/>
        <rFont val="Arial"/>
        <family val="2"/>
      </rPr>
      <t xml:space="preserve"> =</t>
    </r>
  </si>
  <si>
    <r>
      <t>V * f</t>
    </r>
    <r>
      <rPr>
        <vertAlign val="subscript"/>
        <sz val="10"/>
        <rFont val="Arial"/>
        <family val="2"/>
      </rPr>
      <t>G</t>
    </r>
    <r>
      <rPr>
        <sz val="10"/>
        <rFont val="Arial"/>
        <family val="2"/>
      </rPr>
      <t>* f</t>
    </r>
    <r>
      <rPr>
        <vertAlign val="subscript"/>
        <sz val="10"/>
        <rFont val="Arial"/>
        <family val="2"/>
      </rPr>
      <t>S</t>
    </r>
    <r>
      <rPr>
        <sz val="10"/>
        <rFont val="Arial"/>
        <family val="2"/>
      </rPr>
      <t xml:space="preserve"> =</t>
    </r>
  </si>
  <si>
    <t>Zulässigkeit</t>
  </si>
  <si>
    <t>Abflussbeiwert für Retentionsberechnung</t>
  </si>
  <si>
    <t>Jährlichkeit z = 1</t>
  </si>
  <si>
    <t>Wiesland / Garten abflussrelevant (steil, &gt;15%)</t>
  </si>
  <si>
    <t>Abhängig von der Grösse des Fliessgewässers für Zulässigkeitsprüfung B</t>
  </si>
  <si>
    <t>Art des Fliessgewässers</t>
  </si>
  <si>
    <t>Diverses</t>
  </si>
  <si>
    <t>W9.5A</t>
  </si>
  <si>
    <t>Wohnzone W14</t>
  </si>
  <si>
    <t>W14</t>
  </si>
  <si>
    <t>Wohnzone mit Gewerbe WG11.5</t>
  </si>
  <si>
    <t>WG11.5</t>
  </si>
  <si>
    <t>K2</t>
  </si>
  <si>
    <t>öBA</t>
  </si>
  <si>
    <t>Intensiverholungszone Sportanlage</t>
  </si>
  <si>
    <t>IE S</t>
  </si>
  <si>
    <t>Intensiverholungszone Reitsport</t>
  </si>
  <si>
    <t>IE R</t>
  </si>
  <si>
    <t>Weilerzone</t>
  </si>
  <si>
    <t>WZ</t>
  </si>
  <si>
    <t>Landwirtschaftszone</t>
  </si>
  <si>
    <t>L</t>
  </si>
  <si>
    <t>Dorfkernzone (KA/DK2/DK3)</t>
  </si>
  <si>
    <t>Grünzone</t>
  </si>
  <si>
    <t>G</t>
  </si>
  <si>
    <t>Gewerbe-Industriezone</t>
  </si>
  <si>
    <t>GI2</t>
  </si>
  <si>
    <t>GIA/B</t>
  </si>
  <si>
    <t>Kernzone 4-geschossig</t>
  </si>
  <si>
    <t>K4</t>
  </si>
  <si>
    <t>Zone für öffentliche Bauten</t>
  </si>
  <si>
    <t>Oe BA</t>
  </si>
  <si>
    <t>OeBA</t>
  </si>
  <si>
    <t>Strasse</t>
  </si>
  <si>
    <t>STR</t>
  </si>
  <si>
    <t>Bahntrassee Buchs</t>
  </si>
  <si>
    <t>UeG_B</t>
  </si>
  <si>
    <t>VF</t>
  </si>
  <si>
    <t>Wohnzone 2-geschossig</t>
  </si>
  <si>
    <t>w2</t>
  </si>
  <si>
    <t>Wohnzone 3-geschossig</t>
  </si>
  <si>
    <t>W3</t>
  </si>
  <si>
    <t>Wald</t>
  </si>
  <si>
    <t>WA</t>
  </si>
  <si>
    <t>Wohnzone WE / W1</t>
  </si>
  <si>
    <t>WE/W1</t>
  </si>
  <si>
    <t>Wohn-Gewerbezone 2</t>
  </si>
  <si>
    <t>WG2</t>
  </si>
  <si>
    <t>Wohn-Gewerbezone 3</t>
  </si>
  <si>
    <t>WG3</t>
  </si>
  <si>
    <t xml:space="preserve"> =INDIREKT(XVERWEIS(Berechnung_Retention!XFD8;Auswahlliste!B2:B76;Auswahlliste!C2:C76;))</t>
  </si>
  <si>
    <t xml:space="preserve"> =XVERWEIS(G5&amp;C7;Abflusswerte!B2:B800&amp;Abflusswerte!C2:C800;Abflusswerte!E2:E800;;FALSCH)</t>
  </si>
  <si>
    <t>GI/GI1</t>
  </si>
  <si>
    <t>GI3</t>
  </si>
  <si>
    <t>GI4</t>
  </si>
  <si>
    <t>Industriezone</t>
  </si>
  <si>
    <t>I</t>
  </si>
  <si>
    <t>Intensiverholungszone</t>
  </si>
  <si>
    <t>Kernzone</t>
  </si>
  <si>
    <t>K</t>
  </si>
  <si>
    <t>Kernzone 3-geschossig</t>
  </si>
  <si>
    <t>K3</t>
  </si>
  <si>
    <t>Kernzone 5a</t>
  </si>
  <si>
    <t>K5a</t>
  </si>
  <si>
    <t>Kernzone 5b</t>
  </si>
  <si>
    <t>K5b</t>
  </si>
  <si>
    <t>Kernzone 5c</t>
  </si>
  <si>
    <t>K5c</t>
  </si>
  <si>
    <t>Landwirtschaft</t>
  </si>
  <si>
    <t>Wohnzone 4-geschossig</t>
  </si>
  <si>
    <t>W4</t>
  </si>
  <si>
    <t>Wohnzone WEA</t>
  </si>
  <si>
    <t>WEA</t>
  </si>
  <si>
    <t>Wohn-Gewerbezone 2A</t>
  </si>
  <si>
    <t>WG2A</t>
  </si>
  <si>
    <t>Wohn-Gewerbezone 4</t>
  </si>
  <si>
    <t>WG4</t>
  </si>
  <si>
    <t>Gewerbe-Industriezone GI/GI1</t>
  </si>
  <si>
    <t>Gewerbe-Industriezone GI2</t>
  </si>
  <si>
    <t>Gewerbe-Industriezone GI3</t>
  </si>
  <si>
    <t>Gewerbe-Industriezone GI4</t>
  </si>
  <si>
    <t>Wohnzone 2</t>
  </si>
  <si>
    <t>W2</t>
  </si>
  <si>
    <t>W2a</t>
  </si>
  <si>
    <t>Wohnzone</t>
  </si>
  <si>
    <t>Gewerbe-Industrie-Zone</t>
  </si>
  <si>
    <t>GI</t>
  </si>
  <si>
    <t>I E</t>
  </si>
  <si>
    <t>Strassen</t>
  </si>
  <si>
    <t>Str</t>
  </si>
  <si>
    <t>WE</t>
  </si>
  <si>
    <t>Wea</t>
  </si>
  <si>
    <t>Wohnzone 3</t>
  </si>
  <si>
    <t>Wohnzone 4</t>
  </si>
  <si>
    <t>Wohnzone mit Gewerbe 2</t>
  </si>
  <si>
    <t>Wohnzone mit Gewerbe 3</t>
  </si>
  <si>
    <t>Wohnzone mit Gewerbe 4</t>
  </si>
  <si>
    <t>GI A</t>
  </si>
  <si>
    <t>I A</t>
  </si>
  <si>
    <t>K5</t>
  </si>
  <si>
    <t>KE / DK2</t>
  </si>
  <si>
    <t>ÖBA</t>
  </si>
  <si>
    <t>Zone für öffentliche Bauten und Anlagen unbebaut</t>
  </si>
  <si>
    <t>Dorfzone 2</t>
  </si>
  <si>
    <t>D2</t>
  </si>
  <si>
    <t>Dorfzone 3</t>
  </si>
  <si>
    <t>D3</t>
  </si>
  <si>
    <t>Gewerbe - Industriezonezone</t>
  </si>
  <si>
    <t>Kurzone</t>
  </si>
  <si>
    <t>Übriges Gemeindegebiet</t>
  </si>
  <si>
    <t>ÜG</t>
  </si>
  <si>
    <t>Verkehrsflächen</t>
  </si>
  <si>
    <t>Gewerbezone</t>
  </si>
  <si>
    <t>Wohnzone W1a</t>
  </si>
  <si>
    <t>W1a</t>
  </si>
  <si>
    <t>Wohnzone W1b</t>
  </si>
  <si>
    <t>W1b</t>
  </si>
  <si>
    <t>Wohnzone W2a</t>
  </si>
  <si>
    <t>Wohnzone W2b</t>
  </si>
  <si>
    <t>W2b</t>
  </si>
  <si>
    <t>Wohnzone mit Gewerbe</t>
  </si>
  <si>
    <t>Wohnzone WG 2/3</t>
  </si>
  <si>
    <t>WG2/3</t>
  </si>
  <si>
    <t>Wohnzone WG 3</t>
  </si>
  <si>
    <t>Dorfkernzone</t>
  </si>
  <si>
    <t>DK</t>
  </si>
  <si>
    <t>Kurzone 1</t>
  </si>
  <si>
    <t>KU1</t>
  </si>
  <si>
    <t>Kurzone 2</t>
  </si>
  <si>
    <t>KU2</t>
  </si>
  <si>
    <t>Kurzone 3</t>
  </si>
  <si>
    <t>KU3</t>
  </si>
  <si>
    <t>ZÖBA</t>
  </si>
  <si>
    <t>IEZ</t>
  </si>
  <si>
    <t>übriges Gemeindegebiet</t>
  </si>
  <si>
    <t>Verkehrsfläche</t>
  </si>
  <si>
    <t>V</t>
  </si>
  <si>
    <t>Wohnzone mit Gewerbe 5</t>
  </si>
  <si>
    <t>WG5</t>
  </si>
  <si>
    <t>Zentrumszone</t>
  </si>
  <si>
    <t>Z</t>
  </si>
  <si>
    <t>IE</t>
  </si>
  <si>
    <t>Wohnzone mit Gewrebe 4</t>
  </si>
  <si>
    <t>Gewerbe- und Industriezone</t>
  </si>
  <si>
    <t>GIb</t>
  </si>
  <si>
    <t>Gewerbe- und Industriezone Gic</t>
  </si>
  <si>
    <t>GIc</t>
  </si>
  <si>
    <t>DK2</t>
  </si>
  <si>
    <t>Arbeitszone</t>
  </si>
  <si>
    <t>A</t>
  </si>
  <si>
    <t>Wohnzone W2</t>
  </si>
  <si>
    <t>Achtung Bindestrich und Abstand geht nicht</t>
  </si>
  <si>
    <t>Kernzone K1</t>
  </si>
  <si>
    <t>K1</t>
  </si>
  <si>
    <t>Wohnzone WE</t>
  </si>
  <si>
    <t>Wohnzone 5</t>
  </si>
  <si>
    <t>W5</t>
  </si>
  <si>
    <t>Mischzone</t>
  </si>
  <si>
    <t>M</t>
  </si>
  <si>
    <t>Sondernutzungszone</t>
  </si>
  <si>
    <t>S</t>
  </si>
  <si>
    <t>Erhaltenszone</t>
  </si>
  <si>
    <t>E</t>
  </si>
  <si>
    <t>G, GE</t>
  </si>
  <si>
    <t>OeBa</t>
  </si>
  <si>
    <t>Hinweis Verkehrsfläche</t>
  </si>
  <si>
    <t>Kur</t>
  </si>
  <si>
    <t>Normalfall: Generelle Festlegung = 0.10</t>
  </si>
  <si>
    <t>alle</t>
  </si>
  <si>
    <t>W2b Ebene</t>
  </si>
  <si>
    <t>W2b Hang</t>
  </si>
  <si>
    <t>GIB</t>
  </si>
  <si>
    <t>Oe</t>
  </si>
  <si>
    <t>Generell alle Zonen</t>
  </si>
  <si>
    <t>Kernzone 2</t>
  </si>
  <si>
    <t>Kernzone 3</t>
  </si>
  <si>
    <t>Wohn- und Gewerbezone WG3</t>
  </si>
  <si>
    <t>WG 3</t>
  </si>
  <si>
    <t>Wohn- und Gewerbezone WG 2</t>
  </si>
  <si>
    <t>WG 2</t>
  </si>
  <si>
    <t>Industriezone I</t>
  </si>
  <si>
    <t>Industriezone GI</t>
  </si>
  <si>
    <t>K 2</t>
  </si>
  <si>
    <t>K 3</t>
  </si>
  <si>
    <t>W 2</t>
  </si>
  <si>
    <t>Wohn- und Gewerbezone WG 3</t>
  </si>
  <si>
    <t>Wohnzone W1</t>
  </si>
  <si>
    <t>W1</t>
  </si>
  <si>
    <t>Wohnzone mit Gewerbe WG2</t>
  </si>
  <si>
    <t>Wohnzone mit Gewerbe WG3</t>
  </si>
  <si>
    <t>Wohnzone mit Gewerbe WG4</t>
  </si>
  <si>
    <t>Wohnzone mit Gewerbe WG5</t>
  </si>
  <si>
    <t>UeG</t>
  </si>
  <si>
    <t>Richtplangebiete</t>
  </si>
  <si>
    <t>Intensieverholungszone IE</t>
  </si>
  <si>
    <t>Richtplangebiete / Übriges Gemeindegebiet</t>
  </si>
  <si>
    <t>ueG</t>
  </si>
  <si>
    <t>Kernzone K</t>
  </si>
  <si>
    <t>Kernzone Altstadt</t>
  </si>
  <si>
    <t>Wohnzone W2 A (Talgebiet)</t>
  </si>
  <si>
    <t>Wohnzone W2 B (Hanglage)</t>
  </si>
  <si>
    <t>Wohn - Gewerbezone WG 3</t>
  </si>
  <si>
    <t>Wohn - Gewerbezone WG 2</t>
  </si>
  <si>
    <t>Gewerbe - Industriezone A GI-A</t>
  </si>
  <si>
    <t>Industriezone I - ab ca. 1980</t>
  </si>
  <si>
    <t xml:space="preserve">Industriezone I </t>
  </si>
  <si>
    <t xml:space="preserve">Zone für öffentl. Bauten u. Anlagen </t>
  </si>
  <si>
    <t>Verkehrsflächen - VF</t>
  </si>
  <si>
    <t>W2 A</t>
  </si>
  <si>
    <t>W2 B</t>
  </si>
  <si>
    <t>I alt</t>
  </si>
  <si>
    <t>0,65</t>
  </si>
  <si>
    <t>0,40</t>
  </si>
  <si>
    <t>GIa</t>
  </si>
  <si>
    <t>DK3</t>
  </si>
  <si>
    <t>Gewerbezone Gla</t>
  </si>
  <si>
    <t>Gewerbezone Glb</t>
  </si>
  <si>
    <t>Normalfall: Generelle Festlegung = 0.05</t>
  </si>
  <si>
    <t>W 9.5A</t>
  </si>
  <si>
    <t>W 10.5A</t>
  </si>
  <si>
    <t>W 10.5</t>
  </si>
  <si>
    <t>W 13.5A</t>
  </si>
  <si>
    <t>W 13.5</t>
  </si>
  <si>
    <t>W 16.5</t>
  </si>
  <si>
    <t>WG 11.0A</t>
  </si>
  <si>
    <t>WG 14.0</t>
  </si>
  <si>
    <t>WG 17.0</t>
  </si>
  <si>
    <t>K 14.0</t>
  </si>
  <si>
    <t>K 17.0</t>
  </si>
  <si>
    <t>K 20.0</t>
  </si>
  <si>
    <t>A 17.0</t>
  </si>
  <si>
    <t>A 30.0</t>
  </si>
  <si>
    <t>Gewerbezone G</t>
  </si>
  <si>
    <t>GIA</t>
  </si>
  <si>
    <t>Gewerbe und Industriezone</t>
  </si>
  <si>
    <t>Wohn Gewerbezone WG2</t>
  </si>
  <si>
    <t>Wohn Gewerbezone WG3</t>
  </si>
  <si>
    <t>Gewerbe und Industriezone GI A</t>
  </si>
  <si>
    <t>WEa</t>
  </si>
  <si>
    <t>Wohnzone WEa</t>
  </si>
  <si>
    <t>Wohn- und Gewerbezone WG2</t>
  </si>
  <si>
    <t>Gewerbe- und Industriezone GIA</t>
  </si>
  <si>
    <t>Gewerbe- und Industriezone GIB</t>
  </si>
  <si>
    <t>W3a</t>
  </si>
  <si>
    <t>Wohnzone W3a</t>
  </si>
  <si>
    <t>Wohn- und Gewerbezone WG4</t>
  </si>
  <si>
    <t>GI B</t>
  </si>
  <si>
    <t>Wohnzone WE (Weilerzone flach)</t>
  </si>
  <si>
    <t>Wohnzone WE (Weilerzone Hang)</t>
  </si>
  <si>
    <t>Gewerbe-/Industriezone GI A</t>
  </si>
  <si>
    <t>Gewerbe-/Industriezone GI B</t>
  </si>
  <si>
    <t>Alle Zonen</t>
  </si>
  <si>
    <t>W2c</t>
  </si>
  <si>
    <t>Dorf-Kernzone</t>
  </si>
  <si>
    <t>Grünzone Sportanlage</t>
  </si>
  <si>
    <t>G/SA</t>
  </si>
  <si>
    <t>Grünzone Parkanlage</t>
  </si>
  <si>
    <t>G/P</t>
  </si>
  <si>
    <t>W</t>
  </si>
  <si>
    <t>Landwirtschaftszone, Hof</t>
  </si>
  <si>
    <t>Strassen ausserorts</t>
  </si>
  <si>
    <t>Strassen innerorts</t>
  </si>
  <si>
    <t>Wohnzone W2c</t>
  </si>
  <si>
    <t>Kernzone A</t>
  </si>
  <si>
    <t>Bahn</t>
  </si>
  <si>
    <t>Gewerbe-Industriezone GI A</t>
  </si>
  <si>
    <t>Intensiverholungszonen</t>
  </si>
  <si>
    <t>Dorfzone</t>
  </si>
  <si>
    <t>Gewerbezone (in Absprache Bauamt)</t>
  </si>
  <si>
    <t>Industriezone (in Absprache Bauamt)</t>
  </si>
  <si>
    <t>Öffentliche Bauten und Anlagen Absprache Bauamt</t>
  </si>
  <si>
    <t>OeBA1</t>
  </si>
  <si>
    <t>OeBA2</t>
  </si>
  <si>
    <t>OeBA3</t>
  </si>
  <si>
    <t>OeBA4</t>
  </si>
  <si>
    <t>Wohnzone wE</t>
  </si>
  <si>
    <t>Gewerbe- und Industriezone GI A</t>
  </si>
  <si>
    <t>Gewerbe- und Industriezone GI B</t>
  </si>
  <si>
    <t>Zone für öffentliche Bauten und Anlagen OeBA1</t>
  </si>
  <si>
    <t>Zone für öffentliche Bauten und Anlagen OeBA2</t>
  </si>
  <si>
    <t>Zone für öffentliche Bauten und Anlagen OeBA3</t>
  </si>
  <si>
    <t>Zone für öffentliche Bauten und Anlagen OeBA4</t>
  </si>
  <si>
    <r>
      <rPr>
        <sz val="10"/>
        <color rgb="FF000000"/>
        <rFont val="Arial"/>
        <family val="2"/>
      </rPr>
      <t>W</t>
    </r>
    <r>
      <rPr>
        <sz val="10"/>
        <color rgb="FF000000"/>
        <rFont val="Arial"/>
        <family val="2"/>
      </rPr>
      <t>2</t>
    </r>
  </si>
  <si>
    <r>
      <rPr>
        <sz val="10"/>
        <color rgb="FF000000"/>
        <rFont val="Arial"/>
        <family val="2"/>
      </rPr>
      <t>W</t>
    </r>
    <r>
      <rPr>
        <sz val="10"/>
        <color rgb="FF000000"/>
        <rFont val="Arial"/>
        <family val="2"/>
      </rPr>
      <t>3</t>
    </r>
  </si>
  <si>
    <r>
      <rPr>
        <sz val="10"/>
        <color rgb="FF000000"/>
        <rFont val="Arial"/>
        <family val="2"/>
      </rPr>
      <t>W</t>
    </r>
    <r>
      <rPr>
        <sz val="10"/>
        <color rgb="FF000000"/>
        <rFont val="Arial"/>
        <family val="2"/>
      </rPr>
      <t>4</t>
    </r>
  </si>
  <si>
    <r>
      <rPr>
        <sz val="10"/>
        <color rgb="FF000000"/>
        <rFont val="Arial"/>
        <family val="2"/>
      </rPr>
      <t>W</t>
    </r>
    <r>
      <rPr>
        <sz val="10"/>
        <color rgb="FF000000"/>
        <rFont val="Arial"/>
        <family val="2"/>
      </rPr>
      <t>G</t>
    </r>
    <r>
      <rPr>
        <sz val="10"/>
        <color rgb="FF000000"/>
        <rFont val="Arial"/>
        <family val="2"/>
      </rPr>
      <t>2</t>
    </r>
  </si>
  <si>
    <r>
      <rPr>
        <sz val="10"/>
        <color rgb="FF000000"/>
        <rFont val="Arial"/>
        <family val="2"/>
      </rPr>
      <t>W</t>
    </r>
    <r>
      <rPr>
        <sz val="10"/>
        <color rgb="FF000000"/>
        <rFont val="Arial"/>
        <family val="2"/>
      </rPr>
      <t>G</t>
    </r>
    <r>
      <rPr>
        <sz val="10"/>
        <color rgb="FF000000"/>
        <rFont val="Arial"/>
        <family val="2"/>
      </rPr>
      <t>3</t>
    </r>
  </si>
  <si>
    <r>
      <rPr>
        <sz val="10"/>
        <color rgb="FF000000"/>
        <rFont val="Arial"/>
        <family val="2"/>
      </rPr>
      <t>DK</t>
    </r>
    <r>
      <rPr>
        <sz val="10"/>
        <color rgb="FF000000"/>
        <rFont val="Arial"/>
        <family val="2"/>
      </rPr>
      <t>2</t>
    </r>
  </si>
  <si>
    <r>
      <rPr>
        <sz val="10"/>
        <color rgb="FF000000"/>
        <rFont val="Arial"/>
        <family val="2"/>
      </rPr>
      <t>DK</t>
    </r>
    <r>
      <rPr>
        <sz val="10"/>
        <color rgb="FF000000"/>
        <rFont val="Arial"/>
        <family val="2"/>
      </rPr>
      <t>3</t>
    </r>
  </si>
  <si>
    <r>
      <rPr>
        <sz val="10"/>
        <color rgb="FF000000"/>
        <rFont val="Arial"/>
        <family val="2"/>
      </rPr>
      <t>K</t>
    </r>
    <r>
      <rPr>
        <sz val="10"/>
        <color rgb="FF000000"/>
        <rFont val="Arial"/>
        <family val="2"/>
      </rPr>
      <t>4</t>
    </r>
  </si>
  <si>
    <r>
      <rPr>
        <sz val="10"/>
        <color rgb="FF000000"/>
        <rFont val="Arial"/>
        <family val="2"/>
      </rPr>
      <t>G</t>
    </r>
    <r>
      <rPr>
        <sz val="10"/>
        <color rgb="FF000000"/>
        <rFont val="Arial"/>
        <family val="2"/>
      </rPr>
      <t>IA</t>
    </r>
  </si>
  <si>
    <r>
      <rPr>
        <sz val="10"/>
        <color rgb="FF000000"/>
        <rFont val="Arial"/>
        <family val="2"/>
      </rPr>
      <t>G</t>
    </r>
    <r>
      <rPr>
        <sz val="10"/>
        <color rgb="FF000000"/>
        <rFont val="Arial"/>
        <family val="2"/>
      </rPr>
      <t>IB</t>
    </r>
  </si>
  <si>
    <r>
      <rPr>
        <sz val="10"/>
        <color rgb="FF000000"/>
        <rFont val="Arial"/>
        <family val="2"/>
      </rPr>
      <t>I</t>
    </r>
  </si>
  <si>
    <r>
      <rPr>
        <sz val="10"/>
        <color rgb="FF000000"/>
        <rFont val="Arial"/>
        <family val="2"/>
      </rPr>
      <t>O</t>
    </r>
    <r>
      <rPr>
        <sz val="10"/>
        <color rgb="FF000000"/>
        <rFont val="Arial"/>
        <family val="2"/>
      </rPr>
      <t>E</t>
    </r>
    <r>
      <rPr>
        <sz val="10"/>
        <color rgb="FF000000"/>
        <rFont val="Arial"/>
        <family val="2"/>
      </rPr>
      <t>1</t>
    </r>
  </si>
  <si>
    <r>
      <rPr>
        <sz val="10"/>
        <color rgb="FF000000"/>
        <rFont val="Arial"/>
        <family val="2"/>
      </rPr>
      <t>O</t>
    </r>
    <r>
      <rPr>
        <sz val="10"/>
        <color rgb="FF000000"/>
        <rFont val="Arial"/>
        <family val="2"/>
      </rPr>
      <t>E</t>
    </r>
    <r>
      <rPr>
        <sz val="10"/>
        <color rgb="FF000000"/>
        <rFont val="Arial"/>
        <family val="2"/>
      </rPr>
      <t>2</t>
    </r>
  </si>
  <si>
    <r>
      <rPr>
        <sz val="10"/>
        <color rgb="FF000000"/>
        <rFont val="Arial"/>
        <family val="2"/>
      </rPr>
      <t>O</t>
    </r>
    <r>
      <rPr>
        <sz val="10"/>
        <color rgb="FF000000"/>
        <rFont val="Arial"/>
        <family val="2"/>
      </rPr>
      <t>E</t>
    </r>
    <r>
      <rPr>
        <sz val="10"/>
        <color rgb="FF000000"/>
        <rFont val="Arial"/>
        <family val="2"/>
      </rPr>
      <t>3</t>
    </r>
  </si>
  <si>
    <r>
      <rPr>
        <sz val="10"/>
        <color rgb="FF000000"/>
        <rFont val="Arial"/>
        <family val="2"/>
      </rPr>
      <t>O</t>
    </r>
    <r>
      <rPr>
        <sz val="10"/>
        <color rgb="FF000000"/>
        <rFont val="Arial"/>
        <family val="2"/>
      </rPr>
      <t>E</t>
    </r>
    <r>
      <rPr>
        <sz val="10"/>
        <color rgb="FF000000"/>
        <rFont val="Arial"/>
        <family val="2"/>
      </rPr>
      <t>4</t>
    </r>
  </si>
  <si>
    <r>
      <rPr>
        <sz val="10"/>
        <color rgb="FF000000"/>
        <rFont val="Arial"/>
        <family val="2"/>
      </rPr>
      <t>G</t>
    </r>
    <r>
      <rPr>
        <sz val="10"/>
        <color rgb="FF000000"/>
        <rFont val="Arial"/>
        <family val="2"/>
      </rPr>
      <t>R</t>
    </r>
  </si>
  <si>
    <r>
      <rPr>
        <sz val="10"/>
        <color rgb="FF000000"/>
        <rFont val="Arial"/>
        <family val="2"/>
      </rPr>
      <t>IE</t>
    </r>
    <r>
      <rPr>
        <sz val="10"/>
        <color rgb="FF000000"/>
        <rFont val="Arial"/>
        <family val="2"/>
      </rPr>
      <t>C</t>
    </r>
  </si>
  <si>
    <r>
      <rPr>
        <sz val="10"/>
        <color rgb="FF000000"/>
        <rFont val="Arial"/>
        <family val="2"/>
      </rPr>
      <t>S</t>
    </r>
    <r>
      <rPr>
        <sz val="10"/>
        <color rgb="FF000000"/>
        <rFont val="Arial"/>
        <family val="2"/>
      </rPr>
      <t>TR</t>
    </r>
  </si>
  <si>
    <t>Gewerbe-Industriezone GI B</t>
  </si>
  <si>
    <t>Wohnzone für 1- und 2-Familienhäuser</t>
  </si>
  <si>
    <t>Wohnzone 1-2 Geschosse</t>
  </si>
  <si>
    <t>Wohnzone 3 Geschosse</t>
  </si>
  <si>
    <t>Wohnzone 4 Geschosse</t>
  </si>
  <si>
    <t>Wohn-Gewerbe-Zone 2 Geschosse</t>
  </si>
  <si>
    <t>Wohn-Gewerbe-Zone 3 Geschosse</t>
  </si>
  <si>
    <t>Gewerbezone-Industrie-Zone</t>
  </si>
  <si>
    <t>GI 1</t>
  </si>
  <si>
    <t>Kernzone 2 Geschosse</t>
  </si>
  <si>
    <t>Kernzone 3 Geschosse</t>
  </si>
  <si>
    <t>Landwirtschaftsszone</t>
  </si>
  <si>
    <t>GI C</t>
  </si>
  <si>
    <t>Kernzon Oberschan</t>
  </si>
  <si>
    <t>KO</t>
  </si>
  <si>
    <t>Wohnzone 2 Geschosse</t>
  </si>
  <si>
    <t>zwei Bezirke</t>
  </si>
  <si>
    <t>pro Parzelle</t>
  </si>
  <si>
    <t>wollen Anfrage</t>
  </si>
  <si>
    <t>Kernzonen</t>
  </si>
  <si>
    <t>Wohnzone WG3</t>
  </si>
  <si>
    <t>Öffentliche Bauten und Anlagen Kirchen, Friedhöfe, Schwimmbad</t>
  </si>
  <si>
    <t>Öffentliche Bauten und Anlagen Heime, Schulen, Kindergarten</t>
  </si>
  <si>
    <t>Öffentliche Bauten und Anlagen Sportplatz, Technische Bauten</t>
  </si>
  <si>
    <t>Daten Info</t>
  </si>
  <si>
    <t>Rapperswil-Jona J</t>
  </si>
  <si>
    <t>Rapperswil-Jona R</t>
  </si>
  <si>
    <t>Wildhaus-Alt St.Johann A</t>
  </si>
  <si>
    <t>Wildhaus-Alt St.Johann W</t>
  </si>
  <si>
    <t>Bütschwil-Ganterschwil G</t>
  </si>
  <si>
    <t>Bütschwil-Ganterschwil B</t>
  </si>
  <si>
    <t>OE1</t>
  </si>
  <si>
    <t>OE2</t>
  </si>
  <si>
    <t>OE3</t>
  </si>
  <si>
    <t>OE4</t>
  </si>
  <si>
    <t>GR</t>
  </si>
  <si>
    <t>IEC</t>
  </si>
  <si>
    <t>WE1</t>
  </si>
  <si>
    <t>WE2</t>
  </si>
  <si>
    <t>Wohnzone WE1</t>
  </si>
  <si>
    <t>Wohnzone WE2</t>
  </si>
  <si>
    <t>Kernzone 2 Vollgeschosse</t>
  </si>
  <si>
    <t>Kernzone 3 Vollgeschosse</t>
  </si>
  <si>
    <t>Wohn- und Gewerbezone 2</t>
  </si>
  <si>
    <t>Wohn- und Gewerbezone 3</t>
  </si>
  <si>
    <t>Zone öffentlicher Bauten und Anlagen</t>
  </si>
  <si>
    <t>Gewerbe- Industrie- Zone</t>
  </si>
  <si>
    <t>UEG</t>
  </si>
  <si>
    <t>Daten vorhanden aber norm. Pro Parzelle</t>
  </si>
  <si>
    <t>WE / W2a</t>
  </si>
  <si>
    <t>W2 / W2b / W2c</t>
  </si>
  <si>
    <t>Wohnzone W2 / W2b / W2c</t>
  </si>
  <si>
    <t>Wohnzone WE / W2a</t>
  </si>
  <si>
    <t>GI_A</t>
  </si>
  <si>
    <t>IA</t>
  </si>
  <si>
    <t>Intensiverholungszone IE</t>
  </si>
  <si>
    <t>Zone Berg</t>
  </si>
  <si>
    <t>Zone Tal</t>
  </si>
  <si>
    <t>Z. Berg</t>
  </si>
  <si>
    <t>Z. Tal</t>
  </si>
  <si>
    <t>1 und pro Parzelle</t>
  </si>
  <si>
    <t>Kolmation</t>
  </si>
  <si>
    <t>Grundstücks-Nr.:</t>
  </si>
  <si>
    <t>Oberflächengewässer</t>
  </si>
  <si>
    <r>
      <t>m</t>
    </r>
    <r>
      <rPr>
        <vertAlign val="superscript"/>
        <sz val="10"/>
        <color rgb="FFFF0000"/>
        <rFont val="Arial"/>
        <family val="2"/>
      </rPr>
      <t>2</t>
    </r>
  </si>
  <si>
    <r>
      <t xml:space="preserve">Berechnet: F * </t>
    </r>
    <r>
      <rPr>
        <sz val="10"/>
        <color rgb="FFFF0000"/>
        <rFont val="Symbol"/>
        <family val="1"/>
        <charset val="2"/>
      </rPr>
      <t>Y</t>
    </r>
    <r>
      <rPr>
        <vertAlign val="subscript"/>
        <sz val="10"/>
        <color rgb="FFFF0000"/>
        <rFont val="Arial"/>
        <family val="2"/>
      </rPr>
      <t>zul</t>
    </r>
    <r>
      <rPr>
        <sz val="10"/>
        <color rgb="FFFF0000"/>
        <rFont val="Arial"/>
        <family val="2"/>
      </rPr>
      <t xml:space="preserve"> * (Regenintensität für 10Min ja nach Jährlichkeit - Regenspende)</t>
    </r>
  </si>
  <si>
    <t>Fläche entwässert F</t>
  </si>
  <si>
    <r>
      <t xml:space="preserve">Fläche entwässert </t>
    </r>
    <r>
      <rPr>
        <sz val="10"/>
        <color rgb="FFFF0000"/>
        <rFont val="Arial"/>
        <family val="2"/>
      </rPr>
      <t>F</t>
    </r>
  </si>
  <si>
    <r>
      <t>Zulässige spezifische Abflussmenge q</t>
    </r>
    <r>
      <rPr>
        <vertAlign val="subscript"/>
        <sz val="10"/>
        <color rgb="FFFF0000"/>
        <rFont val="Arial"/>
        <family val="2"/>
      </rPr>
      <t>ab</t>
    </r>
  </si>
  <si>
    <r>
      <t>Fläche entwässert</t>
    </r>
    <r>
      <rPr>
        <sz val="10"/>
        <color rgb="FFFF0000"/>
        <rFont val="Arial"/>
        <family val="2"/>
      </rPr>
      <t xml:space="preserve"> F</t>
    </r>
  </si>
  <si>
    <r>
      <t>l/min*m</t>
    </r>
    <r>
      <rPr>
        <vertAlign val="superscript"/>
        <sz val="10"/>
        <color rgb="FFFF0000"/>
        <rFont val="Arial"/>
        <family val="2"/>
      </rPr>
      <t>2</t>
    </r>
  </si>
  <si>
    <r>
      <t xml:space="preserve">spezifische Sickerleistung </t>
    </r>
    <r>
      <rPr>
        <sz val="10"/>
        <color rgb="FFFF0000"/>
        <rFont val="Arial"/>
        <family val="2"/>
      </rPr>
      <t>S</t>
    </r>
    <r>
      <rPr>
        <vertAlign val="subscript"/>
        <sz val="10"/>
        <color rgb="FFFF0000"/>
        <rFont val="Arial"/>
        <family val="2"/>
      </rPr>
      <t>S</t>
    </r>
  </si>
  <si>
    <r>
      <t xml:space="preserve">Drosselbeiwert </t>
    </r>
    <r>
      <rPr>
        <sz val="10"/>
        <color rgb="FFFF0000"/>
        <rFont val="Arial"/>
        <family val="2"/>
      </rPr>
      <t>/Abflussbeiwert GEP ψ</t>
    </r>
    <r>
      <rPr>
        <vertAlign val="subscript"/>
        <sz val="10"/>
        <color rgb="FFFF0000"/>
        <rFont val="Arial"/>
        <family val="2"/>
      </rPr>
      <t>zul</t>
    </r>
  </si>
  <si>
    <r>
      <rPr>
        <sz val="10"/>
        <color theme="1"/>
        <rFont val="Arial"/>
        <family val="2"/>
      </rPr>
      <t>Drosselablauf</t>
    </r>
    <r>
      <rPr>
        <sz val="10"/>
        <color rgb="FFFF0000"/>
        <rFont val="Arial"/>
        <family val="2"/>
      </rPr>
      <t xml:space="preserve"> (Q</t>
    </r>
    <r>
      <rPr>
        <vertAlign val="subscript"/>
        <sz val="10"/>
        <color rgb="FFFF0000"/>
        <rFont val="Arial"/>
        <family val="2"/>
      </rPr>
      <t>ab</t>
    </r>
    <r>
      <rPr>
        <sz val="10"/>
        <color rgb="FFFF0000"/>
        <rFont val="Arial"/>
        <family val="2"/>
      </rPr>
      <t>)</t>
    </r>
  </si>
  <si>
    <r>
      <t>m</t>
    </r>
    <r>
      <rPr>
        <vertAlign val="superscript"/>
        <sz val="8"/>
        <rFont val="Arial"/>
        <family val="2"/>
      </rPr>
      <t>3</t>
    </r>
  </si>
  <si>
    <t>Empfehlung: Minimale Drossleöffnung 2 cm</t>
  </si>
  <si>
    <t>Koordinaten Einleitstelle</t>
  </si>
  <si>
    <r>
      <t>max. Zulaufmenge Q</t>
    </r>
    <r>
      <rPr>
        <vertAlign val="subscript"/>
        <sz val="10"/>
        <rFont val="Arial"/>
        <family val="2"/>
      </rPr>
      <t>an</t>
    </r>
  </si>
  <si>
    <r>
      <t>max. Ablaufmenge Q</t>
    </r>
    <r>
      <rPr>
        <vertAlign val="subscript"/>
        <sz val="10"/>
        <rFont val="Arial"/>
        <family val="2"/>
      </rPr>
      <t>ab</t>
    </r>
  </si>
  <si>
    <t>Erforderliches Retentionsvolumen V</t>
  </si>
  <si>
    <t>Entleerungsdauer d</t>
  </si>
  <si>
    <r>
      <t>Regenintensität r</t>
    </r>
    <r>
      <rPr>
        <vertAlign val="subscript"/>
        <sz val="10"/>
        <rFont val="Arial"/>
        <family val="2"/>
      </rPr>
      <t>t,T</t>
    </r>
  </si>
  <si>
    <r>
      <t xml:space="preserve">Regendauer </t>
    </r>
    <r>
      <rPr>
        <vertAlign val="subscript"/>
        <sz val="10"/>
        <rFont val="Arial"/>
        <family val="2"/>
      </rPr>
      <t>t</t>
    </r>
  </si>
  <si>
    <t>Art der zu entwässernde Fläche</t>
  </si>
  <si>
    <r>
      <t>Abflussbeiwert GEP ψ</t>
    </r>
    <r>
      <rPr>
        <vertAlign val="subscript"/>
        <sz val="10"/>
        <color theme="1"/>
        <rFont val="Arial"/>
        <family val="2"/>
      </rPr>
      <t>zul</t>
    </r>
  </si>
  <si>
    <t>Flachdach begrünt (Aufbaudicke ≤ 10 cm)</t>
  </si>
  <si>
    <t>Flachdach begrünt (Aufbaudicke &gt; 10 bis 15 cm)</t>
  </si>
  <si>
    <t>Flachdach begrünt (Aufbaudicke &gt; 15 bis 25 cm)</t>
  </si>
  <si>
    <t>Flachdach begrünt (Aufbaudicke &gt; 25 bis 50 cm)</t>
  </si>
  <si>
    <r>
      <t>C</t>
    </r>
    <r>
      <rPr>
        <vertAlign val="subscript"/>
        <sz val="10"/>
        <color theme="1"/>
        <rFont val="Arial"/>
        <family val="2"/>
      </rPr>
      <t>S</t>
    </r>
  </si>
  <si>
    <t>Schotterrasen, lockerer Kiesbelag</t>
  </si>
  <si>
    <t>manuelle Eingabe:</t>
  </si>
  <si>
    <r>
      <t>Spez. Niederwasserabfluss q</t>
    </r>
    <r>
      <rPr>
        <vertAlign val="subscript"/>
        <sz val="10"/>
        <color theme="1"/>
        <rFont val="Arial"/>
        <family val="2"/>
      </rPr>
      <t>347</t>
    </r>
  </si>
  <si>
    <r>
      <t>Fläche Einzugsgebiet A</t>
    </r>
    <r>
      <rPr>
        <vertAlign val="subscript"/>
        <sz val="10"/>
        <color theme="1"/>
        <rFont val="Arial"/>
        <family val="2"/>
      </rPr>
      <t>EZG</t>
    </r>
  </si>
  <si>
    <r>
      <t>f</t>
    </r>
    <r>
      <rPr>
        <vertAlign val="subscript"/>
        <sz val="10"/>
        <color theme="1"/>
        <rFont val="Arial"/>
        <family val="2"/>
      </rPr>
      <t>G</t>
    </r>
    <r>
      <rPr>
        <sz val="10"/>
        <color theme="1"/>
        <rFont val="Arial"/>
        <family val="2"/>
      </rPr>
      <t xml:space="preserve"> =</t>
    </r>
  </si>
  <si>
    <r>
      <t>f</t>
    </r>
    <r>
      <rPr>
        <vertAlign val="subscript"/>
        <sz val="10"/>
        <color theme="1"/>
        <rFont val="Arial"/>
        <family val="2"/>
      </rPr>
      <t>S</t>
    </r>
    <r>
      <rPr>
        <sz val="10"/>
        <color theme="1"/>
        <rFont val="Arial"/>
        <family val="2"/>
      </rPr>
      <t xml:space="preserve"> =</t>
    </r>
  </si>
  <si>
    <r>
      <t>km</t>
    </r>
    <r>
      <rPr>
        <vertAlign val="superscript"/>
        <sz val="10"/>
        <color theme="1"/>
        <rFont val="Arial"/>
        <family val="2"/>
      </rPr>
      <t>2</t>
    </r>
  </si>
  <si>
    <r>
      <t>Q</t>
    </r>
    <r>
      <rPr>
        <vertAlign val="subscript"/>
        <sz val="10"/>
        <rFont val="Arial"/>
        <family val="2"/>
      </rPr>
      <t xml:space="preserve">347 </t>
    </r>
    <r>
      <rPr>
        <sz val="10"/>
        <rFont val="Arial"/>
        <family val="2"/>
      </rPr>
      <t>/ Q</t>
    </r>
    <r>
      <rPr>
        <vertAlign val="subscript"/>
        <sz val="10"/>
        <rFont val="Arial"/>
        <family val="2"/>
      </rPr>
      <t>E</t>
    </r>
    <r>
      <rPr>
        <sz val="10"/>
        <rFont val="Arial"/>
        <family val="2"/>
      </rPr>
      <t xml:space="preserve"> =</t>
    </r>
  </si>
  <si>
    <r>
      <t>max. Ablaufmenge Q</t>
    </r>
    <r>
      <rPr>
        <vertAlign val="subscript"/>
        <sz val="10"/>
        <color theme="1" tint="0.499984740745262"/>
        <rFont val="Arial"/>
        <family val="2"/>
      </rPr>
      <t>E,VG</t>
    </r>
  </si>
  <si>
    <r>
      <t>max. Zulaufmenge Q</t>
    </r>
    <r>
      <rPr>
        <vertAlign val="subscript"/>
        <sz val="10"/>
        <color theme="1" tint="0.499984740745262"/>
        <rFont val="Arial"/>
        <family val="2"/>
      </rPr>
      <t>E</t>
    </r>
  </si>
  <si>
    <r>
      <t>Abflussbeiwert GEP ψ</t>
    </r>
    <r>
      <rPr>
        <vertAlign val="subscript"/>
        <sz val="10"/>
        <rFont val="Arial"/>
        <family val="2"/>
      </rPr>
      <t>zul</t>
    </r>
  </si>
  <si>
    <r>
      <t>Zulässige Reduzierte Fläche A</t>
    </r>
    <r>
      <rPr>
        <vertAlign val="subscript"/>
        <sz val="10"/>
        <rFont val="Arial"/>
        <family val="2"/>
      </rPr>
      <t xml:space="preserve">red,zul </t>
    </r>
  </si>
  <si>
    <r>
      <t>Reduzierte Fläche A</t>
    </r>
    <r>
      <rPr>
        <vertAlign val="subscript"/>
        <sz val="10"/>
        <rFont val="Arial"/>
        <family val="2"/>
      </rPr>
      <t>red</t>
    </r>
  </si>
  <si>
    <r>
      <t>[l/s*km</t>
    </r>
    <r>
      <rPr>
        <vertAlign val="superscript"/>
        <sz val="10"/>
        <rFont val="Arial"/>
        <family val="2"/>
      </rPr>
      <t>2</t>
    </r>
    <r>
      <rPr>
        <sz val="10"/>
        <rFont val="Arial"/>
        <family val="2"/>
      </rPr>
      <t>]</t>
    </r>
  </si>
  <si>
    <t>Wohnzone W2 mit Versickerung</t>
  </si>
  <si>
    <t>Wohnzone W2 ohne Versickerung</t>
  </si>
  <si>
    <t>Wohnzone W3 mit Versickerung</t>
  </si>
  <si>
    <t>Wohnzone W3 ohne Versickerung</t>
  </si>
  <si>
    <t>Wohnzone W4 mit Versickerung</t>
  </si>
  <si>
    <t>Wohnzone W4 ohne Versickerung</t>
  </si>
  <si>
    <t>Wohnzone mit Gewerbe WG2 mit Versickerung</t>
  </si>
  <si>
    <t>Wohnzone mit Gewerbe WG2 ohne Versickerung</t>
  </si>
  <si>
    <t>Wohnzone mit Gewerbe WG3 mit Versickerung</t>
  </si>
  <si>
    <t>Wohnzone mit Gewerbe WG3 ohne Versickerung</t>
  </si>
  <si>
    <t>Arbeitszone mit Versickerung</t>
  </si>
  <si>
    <t>Arbeitszone ohne Versickerung</t>
  </si>
  <si>
    <t>Kernzone mit Versickerung</t>
  </si>
  <si>
    <t>Kernzone ohne Versickerung</t>
  </si>
  <si>
    <t>Zone für öffentliche Bauten und Anlagen mit Versickerung</t>
  </si>
  <si>
    <t>Zone für öffentliche Bauten und Anlagen ohne Versickerung</t>
  </si>
  <si>
    <t>Festlegung pro Parzelle</t>
  </si>
  <si>
    <t>W2a, W2b</t>
  </si>
  <si>
    <t>Karte Q347</t>
  </si>
  <si>
    <t>Karte Einzugsgebiet</t>
  </si>
  <si>
    <t>Gemeinde49</t>
  </si>
  <si>
    <t>Gemeindenr</t>
  </si>
  <si>
    <t>Zone</t>
  </si>
  <si>
    <t>Abflussbeiwert</t>
  </si>
  <si>
    <t>Zonen</t>
  </si>
  <si>
    <t>Spalte1</t>
  </si>
  <si>
    <t>Wohnzone W95A</t>
  </si>
  <si>
    <r>
      <t>C</t>
    </r>
    <r>
      <rPr>
        <vertAlign val="subscript"/>
        <sz val="10"/>
        <rFont val="Arial"/>
        <family val="2"/>
      </rPr>
      <t>S</t>
    </r>
  </si>
  <si>
    <r>
      <t xml:space="preserve">Spitzenabflussbeiwert Grundstück </t>
    </r>
    <r>
      <rPr>
        <i/>
        <sz val="10"/>
        <rFont val="Symbol"/>
        <family val="1"/>
        <charset val="2"/>
      </rPr>
      <t>Y</t>
    </r>
    <r>
      <rPr>
        <i/>
        <vertAlign val="subscript"/>
        <sz val="10"/>
        <rFont val="Arial"/>
        <family val="2"/>
      </rPr>
      <t>spi</t>
    </r>
  </si>
  <si>
    <r>
      <t>Regenspende für Drosselung r</t>
    </r>
    <r>
      <rPr>
        <vertAlign val="subscript"/>
        <sz val="10"/>
        <rFont val="Arial"/>
        <family val="2"/>
      </rPr>
      <t>10,5</t>
    </r>
  </si>
  <si>
    <r>
      <t>erforderlicher Drosselquerschnitt D</t>
    </r>
    <r>
      <rPr>
        <vertAlign val="subscript"/>
        <sz val="10"/>
        <rFont val="Arial"/>
        <family val="2"/>
      </rPr>
      <t>A</t>
    </r>
  </si>
  <si>
    <t>Nutztiefe des Retentionskörpers h</t>
  </si>
  <si>
    <r>
      <t>max. Sickermenge S</t>
    </r>
    <r>
      <rPr>
        <vertAlign val="subscript"/>
        <sz val="10"/>
        <rFont val="Arial"/>
        <family val="2"/>
      </rPr>
      <t>ab</t>
    </r>
  </si>
  <si>
    <r>
      <t>spezifische Sickerleistung S</t>
    </r>
    <r>
      <rPr>
        <vertAlign val="subscript"/>
        <sz val="10"/>
        <rFont val="Arial"/>
        <family val="2"/>
      </rPr>
      <t>spez</t>
    </r>
  </si>
  <si>
    <r>
      <t>verfügbare Sickerfläche A</t>
    </r>
    <r>
      <rPr>
        <vertAlign val="subscript"/>
        <sz val="10"/>
        <rFont val="Arial"/>
        <family val="2"/>
      </rPr>
      <t>S</t>
    </r>
  </si>
  <si>
    <r>
      <t>m</t>
    </r>
    <r>
      <rPr>
        <vertAlign val="superscript"/>
        <sz val="10"/>
        <rFont val="Arial"/>
        <family val="2"/>
      </rPr>
      <t>3</t>
    </r>
  </si>
  <si>
    <r>
      <t>Erforderliches Versickerungsvolumen V</t>
    </r>
    <r>
      <rPr>
        <b/>
        <vertAlign val="subscript"/>
        <sz val="11"/>
        <rFont val="Arial"/>
        <family val="2"/>
      </rPr>
      <t>S</t>
    </r>
  </si>
  <si>
    <t>Wohnzone W2a, W2b</t>
  </si>
  <si>
    <t>Wohngewerbezone WG2</t>
  </si>
  <si>
    <t>Wohngewerbezone WG3</t>
  </si>
  <si>
    <t>öffentliche Bauten und Anlagen</t>
  </si>
  <si>
    <t>keine Daten vorhanden</t>
  </si>
  <si>
    <t>Abflussbeiwerte pro Parzelle - bei Gemeinde anfragen.</t>
  </si>
  <si>
    <t>Abflusswerte pro Parzelle</t>
  </si>
  <si>
    <t>Keine Daten hinterlegt</t>
  </si>
  <si>
    <t>kein e Daten vorhanden</t>
  </si>
  <si>
    <t>Abflussbeiwerte pro Parzelle</t>
  </si>
  <si>
    <t>Entwässerungstabelle gemäss SN592000:2024</t>
  </si>
  <si>
    <t>Einleitung in ein oberirdisches Gewässer oder in eine Meteorwasserkanalisation nur zulässig nach Behandlung des Abwassers in Abhängigkeit der Grösse des Vorfluters</t>
  </si>
  <si>
    <r>
      <t>Max. Abflussbeiwert Einleitung ψ</t>
    </r>
    <r>
      <rPr>
        <vertAlign val="subscript"/>
        <sz val="10"/>
        <rFont val="Arial"/>
        <family val="2"/>
      </rPr>
      <t>max</t>
    </r>
  </si>
  <si>
    <r>
      <t xml:space="preserve">Kenndaten Fliessgewässer </t>
    </r>
    <r>
      <rPr>
        <i/>
        <sz val="10"/>
        <rFont val="Arial"/>
        <family val="2"/>
      </rPr>
      <t>(Gewässer, Seen und Weiher ohne Retentionspflicht sind im Merkblatt AWE 184 «Regenwasserentsorgung» beschrieben)</t>
    </r>
  </si>
  <si>
    <r>
      <t>Spitzenabflussbeiwert Grundstück ψ</t>
    </r>
    <r>
      <rPr>
        <vertAlign val="subscript"/>
        <sz val="10"/>
        <color theme="1" tint="0.499984740745262"/>
        <rFont val="Arial"/>
        <family val="2"/>
      </rPr>
      <t>spi</t>
    </r>
  </si>
  <si>
    <t>Zulässigkeitsprüfung stoffliche Belastung gemäss Merkblatt AWE 184 «Regenwasserentsorgung»</t>
  </si>
  <si>
    <t>Rechtliche und fachliche Grundlagen</t>
  </si>
  <si>
    <t>Flächenplan</t>
  </si>
  <si>
    <t>Erfassung der Objektdaten</t>
  </si>
  <si>
    <t>Relevante Gesetze, Normen und Richtlinien</t>
  </si>
  <si>
    <t>Impressum</t>
  </si>
  <si>
    <t>Karte Geoportal</t>
  </si>
  <si>
    <t>(für V ≥ 1 beträgt fS = fG = 1.0)</t>
  </si>
  <si>
    <t>Anwendungs-bereich</t>
  </si>
  <si>
    <t>Versickerungs-anlage</t>
  </si>
  <si>
    <t>Zulässigkeits-prüfung hydraulische Belastung</t>
  </si>
  <si>
    <t>Zulässigkeits-prüfung der stofflichen Belastung</t>
  </si>
  <si>
    <t>Wohnzone W2b Ebene</t>
  </si>
  <si>
    <t>Wohnzone W2b Hang</t>
  </si>
  <si>
    <t>Gewerbe- und Industriezone Gib</t>
  </si>
  <si>
    <t>Wohn-Gewerbe-Zone WG2</t>
  </si>
  <si>
    <t>Wohn-Gewerbe-Zone WG3</t>
  </si>
  <si>
    <t>Wohn-Gewerbe-Zone WG4</t>
  </si>
  <si>
    <t>Gewerbe-Industriezone GIA/B</t>
  </si>
  <si>
    <t>Grünzone G</t>
  </si>
  <si>
    <t>Strasse VF</t>
  </si>
  <si>
    <t>Strasse STR</t>
  </si>
  <si>
    <t>Gewerbezone-Industrie-Zone GI 1</t>
  </si>
  <si>
    <t>Gewerbezone-Industrie-Zone I</t>
  </si>
  <si>
    <t>Gewerbe-Industriezone Gia</t>
  </si>
  <si>
    <t>Gewerbe-Industriezone Gib</t>
  </si>
  <si>
    <t>Gewerbe-Industriezone GIb</t>
  </si>
  <si>
    <t>Gewerbe- und Industriezone GI</t>
  </si>
  <si>
    <t>Gewerbe-Industriezone GI</t>
  </si>
  <si>
    <t>Wohnzone W 9.5A</t>
  </si>
  <si>
    <t>Wohnzone W 10.5A</t>
  </si>
  <si>
    <t>Wohnzone W 13.5A</t>
  </si>
  <si>
    <t>Wohnzone W 13.5</t>
  </si>
  <si>
    <t>Wohnzone W 16.5</t>
  </si>
  <si>
    <t>Wohn-/Gewerbezone WG 11.0A</t>
  </si>
  <si>
    <t>Wohn-/Gewerbezone WG 14.0</t>
  </si>
  <si>
    <t>Wohn-/Gewerbezone WG 17.0</t>
  </si>
  <si>
    <t>Kernzone K14.0</t>
  </si>
  <si>
    <t>Kernzone K17.0</t>
  </si>
  <si>
    <t>Kernzone K20.0</t>
  </si>
  <si>
    <t>Arbeitszone A17.0</t>
  </si>
  <si>
    <t>Arbeitszone A30.0</t>
  </si>
  <si>
    <r>
      <t>Niederwasserabfluss an Einleitstelle Q</t>
    </r>
    <r>
      <rPr>
        <vertAlign val="subscript"/>
        <sz val="10"/>
        <color theme="1"/>
        <rFont val="Arial"/>
        <family val="2"/>
      </rPr>
      <t>347</t>
    </r>
    <r>
      <rPr>
        <sz val="10"/>
        <color theme="1"/>
        <rFont val="Arial"/>
        <family val="2"/>
      </rPr>
      <t xml:space="preserve"> berech.</t>
    </r>
  </si>
  <si>
    <t>Eingabe manuell:</t>
  </si>
  <si>
    <t>Eingabe bei Spezialfall oder genaueren Daten</t>
  </si>
  <si>
    <t>Anwendung «Entwässerungstool Liegenschaften»</t>
  </si>
  <si>
    <t>Version 0.2</t>
  </si>
  <si>
    <r>
      <t xml:space="preserve">Die Liegenschaftsentwässerung hat sich nach den Vorgaben der 
- Schweizer Norm </t>
    </r>
    <r>
      <rPr>
        <b/>
        <sz val="10.5"/>
        <rFont val="Arial"/>
        <family val="2"/>
      </rPr>
      <t>SN 592 000 (SIA, 2024</t>
    </r>
    <r>
      <rPr>
        <sz val="10.5"/>
        <rFont val="Arial"/>
        <family val="2"/>
      </rPr>
      <t xml:space="preserve">), 
- der </t>
    </r>
    <r>
      <rPr>
        <b/>
        <sz val="10.5"/>
        <rFont val="Arial"/>
        <family val="2"/>
      </rPr>
      <t>VSA-Richtlinie «Abwasserbewirtschaftung bei Regenwetter» (2019)</t>
    </r>
    <r>
      <rPr>
        <sz val="10.5"/>
        <rFont val="Arial"/>
        <family val="2"/>
      </rPr>
      <t>, 
- den kantonalen</t>
    </r>
    <r>
      <rPr>
        <b/>
        <sz val="10.5"/>
        <rFont val="Arial"/>
        <family val="2"/>
      </rPr>
      <t xml:space="preserve"> Merkblättern AWE 184 «Regenwasserentsorgung»</t>
    </r>
    <r>
      <rPr>
        <sz val="10.5"/>
        <rFont val="Arial"/>
        <family val="2"/>
      </rPr>
      <t xml:space="preserve"> und </t>
    </r>
    <r>
      <rPr>
        <b/>
        <sz val="10.5"/>
        <rFont val="Arial"/>
        <family val="2"/>
      </rPr>
      <t>«Planungshilfe zum Merkblatt AWE 184»</t>
    </r>
    <r>
      <rPr>
        <sz val="10.5"/>
        <rFont val="Arial"/>
        <family val="2"/>
      </rPr>
      <t xml:space="preserve"> sowie 
- dem </t>
    </r>
    <r>
      <rPr>
        <b/>
        <sz val="10.5"/>
        <rFont val="Arial"/>
        <family val="2"/>
      </rPr>
      <t>Generellen Entwässerungsplan</t>
    </r>
    <r>
      <rPr>
        <sz val="10.5"/>
        <rFont val="Arial"/>
        <family val="2"/>
      </rPr>
      <t xml:space="preserve"> (</t>
    </r>
    <r>
      <rPr>
        <b/>
        <sz val="10.5"/>
        <rFont val="Arial"/>
        <family val="2"/>
      </rPr>
      <t>GEP</t>
    </r>
    <r>
      <rPr>
        <sz val="10.5"/>
        <rFont val="Arial"/>
        <family val="2"/>
      </rPr>
      <t xml:space="preserve">) der Gemeinden zu richten. 
Ergänzend wird auf das </t>
    </r>
    <r>
      <rPr>
        <b/>
        <sz val="10.5"/>
        <rFont val="Arial"/>
        <family val="2"/>
      </rPr>
      <t>VSA-Merkblatt «Niederschlagswasser für geübte Anwender</t>
    </r>
    <r>
      <rPr>
        <sz val="10.5"/>
        <rFont val="Arial"/>
        <family val="2"/>
      </rPr>
      <t>» verwiesen.</t>
    </r>
  </si>
  <si>
    <t>Zweck des Entwässerungs-tools</t>
  </si>
  <si>
    <r>
      <rPr>
        <sz val="10.5"/>
        <rFont val="Arial"/>
        <family val="2"/>
      </rPr>
      <t xml:space="preserve">Das «Entwässerungstool Liegenschaften» unterstützt: 
- die Zulässigkeitsprüfung für die </t>
    </r>
    <r>
      <rPr>
        <b/>
        <sz val="10.5"/>
        <rFont val="Arial"/>
        <family val="2"/>
      </rPr>
      <t>Einleitung von Niederschlagsabwasser in oberirdische Gewässer</t>
    </r>
    <r>
      <rPr>
        <sz val="10.5"/>
        <rFont val="Arial"/>
        <family val="2"/>
      </rPr>
      <t xml:space="preserve"> sowie
- die Dimensionierung von </t>
    </r>
    <r>
      <rPr>
        <b/>
        <sz val="10.5"/>
        <rFont val="Arial"/>
        <family val="2"/>
      </rPr>
      <t>Retentions- und Versickerungsanlagen</t>
    </r>
  </si>
  <si>
    <r>
      <t xml:space="preserve">Es ist primär für Bauvorhaben mit einer </t>
    </r>
    <r>
      <rPr>
        <b/>
        <sz val="10.5"/>
        <rFont val="Arial"/>
        <family val="2"/>
      </rPr>
      <t>reduzierten Entwässerungsfläche bis ca. 2'000 m²</t>
    </r>
    <r>
      <rPr>
        <sz val="10.5"/>
        <rFont val="Arial"/>
        <family val="2"/>
      </rPr>
      <t xml:space="preserve"> vorgesehen, rechnet aber auch grössere Flächen richtig. Bei grösseren Projekten erfolgt die Planung und Beurteilung in der Regel </t>
    </r>
    <r>
      <rPr>
        <b/>
        <sz val="10.5"/>
        <rFont val="Arial"/>
        <family val="2"/>
      </rPr>
      <t>unter Einbezug von Fachplanern und der zuständigen Bewilligungsbehörde</t>
    </r>
    <r>
      <rPr>
        <sz val="10.5"/>
        <rFont val="Arial"/>
        <family val="2"/>
      </rPr>
      <t>. Die Anwendung erfolgt in eigener Verantwortung; die Eingabewerte müssen den vorherrschenden Bedingungen entsprechen.</t>
    </r>
  </si>
  <si>
    <t>Grundsätze der Niederschlags-wasserbewirt-schaftung</t>
  </si>
  <si>
    <t xml:space="preserve">Für jedes Baugesuch ist ein Flächenplan zu erstellen. Dieser zeigt auf, wie das anfallende Niederschlagsabwasser bewirtschaftet und entsorgt wird. </t>
  </si>
  <si>
    <r>
      <t xml:space="preserve">Die erforderlichen Objektdaten werden je nach Entwässerungsart in den Tabellenblättern «Versickerungsanlage», «EinleitungInGewässer» oder «Retentionsanlage» erfasst:
</t>
    </r>
    <r>
      <rPr>
        <b/>
        <sz val="10.5"/>
        <rFont val="Arial"/>
        <family val="2"/>
      </rPr>
      <t xml:space="preserve">- Dropdown-Felder </t>
    </r>
    <r>
      <rPr>
        <sz val="10.5"/>
        <rFont val="Arial"/>
        <family val="2"/>
      </rPr>
      <t xml:space="preserve">und </t>
    </r>
    <r>
      <rPr>
        <b/>
        <sz val="10.5"/>
        <rFont val="Arial"/>
        <family val="2"/>
      </rPr>
      <t>grün hinterlegte Felder</t>
    </r>
    <r>
      <rPr>
        <sz val="10.5"/>
        <rFont val="Arial"/>
        <family val="2"/>
      </rPr>
      <t xml:space="preserve"> sind durch den Anwender auszufüllen</t>
    </r>
    <r>
      <rPr>
        <b/>
        <sz val="10.5"/>
        <rFont val="Arial"/>
        <family val="2"/>
      </rPr>
      <t xml:space="preserve">
- Grau hinterlegte Felder</t>
    </r>
    <r>
      <rPr>
        <sz val="10.5"/>
        <rFont val="Arial"/>
        <family val="2"/>
      </rPr>
      <t xml:space="preserve"> werden automatisch berechnet oder zugewiesen
Die </t>
    </r>
    <r>
      <rPr>
        <b/>
        <sz val="10.5"/>
        <rFont val="Arial"/>
        <family val="2"/>
      </rPr>
      <t>Entwässerungstabelle gemäss SN 592 000:2024</t>
    </r>
    <r>
      <rPr>
        <sz val="10.5"/>
        <rFont val="Arial"/>
        <family val="2"/>
      </rPr>
      <t xml:space="preserve"> ist entsprechend dem </t>
    </r>
    <r>
      <rPr>
        <b/>
        <sz val="10.5"/>
        <rFont val="Arial"/>
        <family val="2"/>
      </rPr>
      <t>Flächenplan</t>
    </r>
    <r>
      <rPr>
        <sz val="10.5"/>
        <rFont val="Arial"/>
        <family val="2"/>
      </rPr>
      <t xml:space="preserve"> auszufüllen. Die</t>
    </r>
    <r>
      <rPr>
        <b/>
        <sz val="10.5"/>
        <rFont val="Arial"/>
        <family val="2"/>
      </rPr>
      <t xml:space="preserve"> Gesamtfläche (Total Fläche A)</t>
    </r>
    <r>
      <rPr>
        <sz val="10.5"/>
        <rFont val="Arial"/>
        <family val="2"/>
      </rPr>
      <t xml:space="preserve"> muss der </t>
    </r>
    <r>
      <rPr>
        <b/>
        <sz val="10.5"/>
        <rFont val="Arial"/>
        <family val="2"/>
      </rPr>
      <t>Grundstücksfläche</t>
    </r>
    <r>
      <rPr>
        <sz val="10.5"/>
        <rFont val="Arial"/>
        <family val="2"/>
      </rPr>
      <t xml:space="preserve"> gemäss Objektdaten entsprechen. Individuelle Anpassungen, Sonderfälle oder ergänzende Erläuterungen können im Feld </t>
    </r>
    <r>
      <rPr>
        <b/>
        <sz val="10.5"/>
        <rFont val="Arial"/>
        <family val="2"/>
      </rPr>
      <t>«Diverses»</t>
    </r>
    <r>
      <rPr>
        <sz val="10.5"/>
        <rFont val="Arial"/>
        <family val="2"/>
      </rPr>
      <t xml:space="preserve"> vermerkt werden.
Der Kolmationsgrad ist standardmässig mit «mässig» anzusetzen. Abweichungen sind zu begründen.
Die </t>
    </r>
    <r>
      <rPr>
        <b/>
        <sz val="10.5"/>
        <rFont val="Arial"/>
        <family val="2"/>
      </rPr>
      <t>massgebende Regenmessstation</t>
    </r>
    <r>
      <rPr>
        <sz val="10.5"/>
        <rFont val="Arial"/>
        <family val="2"/>
      </rPr>
      <t xml:space="preserve"> wird automatisch zugewiesen. Die </t>
    </r>
    <r>
      <rPr>
        <b/>
        <sz val="10.5"/>
        <rFont val="Arial"/>
        <family val="2"/>
      </rPr>
      <t>Jährlichkeiten z</t>
    </r>
    <r>
      <rPr>
        <sz val="10.5"/>
        <rFont val="Arial"/>
        <family val="2"/>
      </rPr>
      <t xml:space="preserve"> sind vorgegeben bzw. auszuwählen:
- Einleitung in Oberflächengewässer: z = 1
- Versickerung: in der Regel z = 10
- Retention: in der Regel z = 5
Abweichungen sind mit der Bewilligungsbehörde abzustimmen.</t>
    </r>
  </si>
  <si>
    <t>EinleitungInGe-wässer</t>
  </si>
  <si>
    <t>Kenndaten Fliessgewässer</t>
  </si>
  <si>
    <r>
      <t>Die</t>
    </r>
    <r>
      <rPr>
        <b/>
        <sz val="10.5"/>
        <rFont val="Arial"/>
        <family val="2"/>
      </rPr>
      <t xml:space="preserve"> grün hinterlegten Felder</t>
    </r>
    <r>
      <rPr>
        <sz val="10.5"/>
        <rFont val="Arial"/>
        <family val="2"/>
      </rPr>
      <t xml:space="preserve"> sind auszufüllen. Folgende Angaben können dem kantonalen Geoportal entnommen werden:
- Name </t>
    </r>
    <r>
      <rPr>
        <b/>
        <sz val="10.5"/>
        <rFont val="Arial"/>
        <family val="2"/>
      </rPr>
      <t>Oberflächengewässer</t>
    </r>
    <r>
      <rPr>
        <sz val="10.5"/>
        <rFont val="Arial"/>
        <family val="2"/>
      </rPr>
      <t xml:space="preserve">
- spezifischer Niederwasserabfluss </t>
    </r>
    <r>
      <rPr>
        <b/>
        <sz val="10.5"/>
        <rFont val="Arial"/>
        <family val="2"/>
      </rPr>
      <t>q</t>
    </r>
    <r>
      <rPr>
        <b/>
        <vertAlign val="subscript"/>
        <sz val="10.5"/>
        <rFont val="Arial"/>
        <family val="2"/>
      </rPr>
      <t>347</t>
    </r>
    <r>
      <rPr>
        <b/>
        <sz val="10.5"/>
        <rFont val="Arial"/>
        <family val="2"/>
      </rPr>
      <t xml:space="preserve"> (initial konservativ mit tieferem Wert rechnen</t>
    </r>
    <r>
      <rPr>
        <sz val="10.5"/>
        <rFont val="Arial"/>
        <family val="2"/>
      </rPr>
      <t xml:space="preserve">)
- Fläche des Einzugsgebiets </t>
    </r>
    <r>
      <rPr>
        <b/>
        <sz val="10.5"/>
        <rFont val="Arial"/>
        <family val="2"/>
      </rPr>
      <t>A</t>
    </r>
    <r>
      <rPr>
        <b/>
        <vertAlign val="subscript"/>
        <sz val="10.5"/>
        <rFont val="Arial"/>
        <family val="2"/>
      </rPr>
      <t>EZG</t>
    </r>
    <r>
      <rPr>
        <sz val="10.5"/>
        <rFont val="Arial"/>
        <family val="2"/>
      </rPr>
      <t xml:space="preserve">
- </t>
    </r>
    <r>
      <rPr>
        <b/>
        <sz val="10.5"/>
        <rFont val="Arial"/>
        <family val="2"/>
      </rPr>
      <t>Koordinaten</t>
    </r>
    <r>
      <rPr>
        <sz val="10.5"/>
        <rFont val="Arial"/>
        <family val="2"/>
      </rPr>
      <t xml:space="preserve"> der Einleitstelle
Der </t>
    </r>
    <r>
      <rPr>
        <b/>
        <sz val="10.5"/>
        <rFont val="Arial"/>
        <family val="2"/>
      </rPr>
      <t>Niedrigwasserabfluss Q</t>
    </r>
    <r>
      <rPr>
        <b/>
        <vertAlign val="subscript"/>
        <sz val="10.5"/>
        <rFont val="Arial"/>
        <family val="2"/>
      </rPr>
      <t>347</t>
    </r>
    <r>
      <rPr>
        <sz val="10.5"/>
        <rFont val="Arial"/>
        <family val="2"/>
      </rPr>
      <t xml:space="preserve"> an der Einleitstelle wird automatisch berechnet. Der Gewässertyp sowie die Sohlenbeschaffenheit sind über </t>
    </r>
    <r>
      <rPr>
        <b/>
        <sz val="10.5"/>
        <rFont val="Arial"/>
        <family val="2"/>
      </rPr>
      <t>Dropdown-Menüs</t>
    </r>
    <r>
      <rPr>
        <sz val="10.5"/>
        <rFont val="Arial"/>
        <family val="2"/>
      </rPr>
      <t xml:space="preserve"> auszuwählen. Der </t>
    </r>
    <r>
      <rPr>
        <b/>
        <sz val="10.5"/>
        <rFont val="Arial"/>
        <family val="2"/>
      </rPr>
      <t>Sohlenfaktor f</t>
    </r>
    <r>
      <rPr>
        <b/>
        <vertAlign val="subscript"/>
        <sz val="10.5"/>
        <rFont val="Arial"/>
        <family val="2"/>
      </rPr>
      <t xml:space="preserve">S </t>
    </r>
    <r>
      <rPr>
        <sz val="10.5"/>
        <rFont val="Arial"/>
        <family val="2"/>
      </rPr>
      <t xml:space="preserve">und der </t>
    </r>
    <r>
      <rPr>
        <b/>
        <sz val="10.5"/>
        <rFont val="Arial"/>
        <family val="2"/>
      </rPr>
      <t>Gewässerfaktor f</t>
    </r>
    <r>
      <rPr>
        <b/>
        <vertAlign val="subscript"/>
        <sz val="10.5"/>
        <rFont val="Arial"/>
        <family val="2"/>
      </rPr>
      <t>G</t>
    </r>
    <r>
      <rPr>
        <sz val="10.5"/>
        <rFont val="Arial"/>
        <family val="2"/>
      </rPr>
      <t xml:space="preserve"> werden automatisch zugewiesen.</t>
    </r>
  </si>
  <si>
    <r>
      <t>Die</t>
    </r>
    <r>
      <rPr>
        <b/>
        <sz val="10.5"/>
        <rFont val="Arial"/>
        <family val="2"/>
      </rPr>
      <t xml:space="preserve"> Art der entwässerten Fläche </t>
    </r>
    <r>
      <rPr>
        <sz val="10.5"/>
        <rFont val="Arial"/>
        <family val="2"/>
      </rPr>
      <t>sowie die</t>
    </r>
    <r>
      <rPr>
        <b/>
        <sz val="10.5"/>
        <rFont val="Arial"/>
        <family val="2"/>
      </rPr>
      <t xml:space="preserve"> Belastungsklasse </t>
    </r>
    <r>
      <rPr>
        <sz val="10.5"/>
        <rFont val="Arial"/>
        <family val="2"/>
      </rPr>
      <t xml:space="preserve">sind gemäss Merkblatt </t>
    </r>
    <r>
      <rPr>
        <b/>
        <sz val="10.5"/>
        <rFont val="Arial"/>
        <family val="2"/>
      </rPr>
      <t>AWE 184 «Regenwasserentsorgung», Kapitel 4</t>
    </r>
    <r>
      <rPr>
        <sz val="10.5"/>
        <rFont val="Arial"/>
        <family val="2"/>
      </rPr>
      <t xml:space="preserve"> auszuwählen. Die Erläuterungen geben in Kurzform an, ob eine</t>
    </r>
    <r>
      <rPr>
        <b/>
        <sz val="10.5"/>
        <rFont val="Arial"/>
        <family val="2"/>
      </rPr>
      <t xml:space="preserve"> Behandlung des Niederschlagsabwassers erforderlich</t>
    </r>
    <r>
      <rPr>
        <sz val="10.5"/>
        <rFont val="Arial"/>
        <family val="2"/>
      </rPr>
      <t xml:space="preserve"> ist. 
Bei der gemeinsamen Entwässerung von Flächen mit unterschiedlichen Belastungsklassen</t>
    </r>
    <r>
      <rPr>
        <b/>
        <sz val="10.5"/>
        <rFont val="Arial"/>
        <family val="2"/>
      </rPr>
      <t xml:space="preserve"> gilt die höhere Belastungsklasse als massgebend. </t>
    </r>
    <r>
      <rPr>
        <sz val="10.5"/>
        <rFont val="Arial"/>
        <family val="2"/>
      </rPr>
      <t xml:space="preserve"> </t>
    </r>
  </si>
  <si>
    <t>Retentionsan-lage</t>
  </si>
  <si>
    <r>
      <t>Der zulässige</t>
    </r>
    <r>
      <rPr>
        <b/>
        <sz val="10.5"/>
        <rFont val="Arial"/>
        <family val="2"/>
      </rPr>
      <t xml:space="preserve"> Abflussbeiwert ψ</t>
    </r>
    <r>
      <rPr>
        <b/>
        <vertAlign val="subscript"/>
        <sz val="10.5"/>
        <rFont val="Arial"/>
        <family val="2"/>
      </rPr>
      <t>zul</t>
    </r>
    <r>
      <rPr>
        <b/>
        <sz val="10.5"/>
        <rFont val="Arial"/>
        <family val="2"/>
      </rPr>
      <t xml:space="preserve"> wird gemäss GEP</t>
    </r>
    <r>
      <rPr>
        <sz val="10.5"/>
        <rFont val="Arial"/>
        <family val="2"/>
      </rPr>
      <t xml:space="preserve"> zugewiesen. Abweichungen oder individuelle Anpassungen sind mit der Bewilligungsbehörde abzustimmen. Ist für eine spezifische Gemeinde oder Zone kein Abflussbeiwert im Tool hinterlegt, kann dieser auf der Gemeinde angefragt und manuell eingetragen werden. Das </t>
    </r>
    <r>
      <rPr>
        <b/>
        <sz val="10.5"/>
        <rFont val="Arial"/>
        <family val="2"/>
      </rPr>
      <t>erforderliche Retentionsvolumen V sowie die Entleerungsdauer d werden automatisch berechnet</t>
    </r>
    <r>
      <rPr>
        <sz val="10.5"/>
        <rFont val="Arial"/>
        <family val="2"/>
      </rPr>
      <t>. Für die Dimensionierung der Drosselöffnung ist die Nutztiefe h des Retentionskörpers in die grün hinterlegten Felder einzutragen. Der erforderliche Drosselquerschnitt D</t>
    </r>
    <r>
      <rPr>
        <vertAlign val="subscript"/>
        <sz val="10.5"/>
        <rFont val="Arial"/>
        <family val="2"/>
      </rPr>
      <t>A</t>
    </r>
    <r>
      <rPr>
        <sz val="10.5"/>
        <rFont val="Arial"/>
        <family val="2"/>
      </rPr>
      <t xml:space="preserve"> sowie der Durchmesser der Drosselöffnung werden automatisch ermittelt. </t>
    </r>
    <r>
      <rPr>
        <b/>
        <sz val="10.5"/>
        <rFont val="Arial"/>
        <family val="2"/>
      </rPr>
      <t>Die Anlage muss für Betrieb und Unterhalt zugänglich sein.</t>
    </r>
    <r>
      <rPr>
        <sz val="10.5"/>
        <rFont val="Arial"/>
        <family val="2"/>
      </rPr>
      <t xml:space="preserve">
- Es wird kein Sicherheitsfaktor berücksichtigt
- Ein Überlauf kann mit Q</t>
    </r>
    <r>
      <rPr>
        <vertAlign val="subscript"/>
        <sz val="10.5"/>
        <rFont val="Arial"/>
        <family val="2"/>
      </rPr>
      <t>Überlauf</t>
    </r>
    <r>
      <rPr>
        <sz val="10.5"/>
        <rFont val="Arial"/>
        <family val="2"/>
      </rPr>
      <t xml:space="preserve"> = 1  bis 1.5 × Q</t>
    </r>
    <r>
      <rPr>
        <vertAlign val="subscript"/>
        <sz val="10.5"/>
        <rFont val="Arial"/>
        <family val="2"/>
      </rPr>
      <t>max Zulauf</t>
    </r>
    <r>
      <rPr>
        <sz val="10.5"/>
        <rFont val="Arial"/>
        <family val="2"/>
      </rPr>
      <t xml:space="preserve"> (z = 5) bemessen werden
- </t>
    </r>
    <r>
      <rPr>
        <b/>
        <sz val="10.5"/>
        <rFont val="Arial"/>
        <family val="2"/>
      </rPr>
      <t>Bagatellgrenze: Retentionsvolumen &lt; 1 m³</t>
    </r>
  </si>
  <si>
    <r>
      <rPr>
        <b/>
        <sz val="11"/>
        <color theme="1"/>
        <rFont val="Arial"/>
        <family val="2"/>
      </rPr>
      <t>Herausgeber</t>
    </r>
    <r>
      <rPr>
        <sz val="11"/>
        <color theme="1"/>
        <rFont val="Arial"/>
        <family val="2"/>
      </rPr>
      <t xml:space="preserve">
Bau- und Umweltdepartement Kanton St.Gallen
Amt für Wasser und Energie
Abteilung Abwasser
Lämmlisbrunnenstrasse 54
9001 St.Gallen
E-Mail: info.budawe@sg.ch
www.sg.ch
</t>
    </r>
    <r>
      <rPr>
        <b/>
        <sz val="11"/>
        <color theme="1"/>
        <rFont val="Arial"/>
        <family val="2"/>
      </rPr>
      <t>Mitarbeit Entwässerungstool</t>
    </r>
    <r>
      <rPr>
        <sz val="11"/>
        <color theme="1"/>
        <rFont val="Arial"/>
        <family val="2"/>
      </rPr>
      <t xml:space="preserve">
Wälli AG Ingenieure
Heiligkreuzstrasse 5
9008 St.Gallen
www.waelli.ch
</t>
    </r>
    <r>
      <rPr>
        <b/>
        <sz val="11"/>
        <color theme="1"/>
        <rFont val="Arial"/>
        <family val="2"/>
      </rPr>
      <t>Ausgabe: Januar 2026</t>
    </r>
  </si>
  <si>
    <r>
      <rPr>
        <b/>
        <sz val="10.5"/>
        <rFont val="Arial"/>
        <family val="2"/>
      </rPr>
      <t>1.</t>
    </r>
    <r>
      <rPr>
        <b/>
        <sz val="10.5"/>
        <color theme="1"/>
        <rFont val="Arial"/>
        <family val="2"/>
      </rPr>
      <t xml:space="preserve"> Priorität: Verhinderung von Abfluss</t>
    </r>
    <r>
      <rPr>
        <sz val="10.5"/>
        <color theme="1"/>
        <rFont val="Arial"/>
        <family val="2"/>
      </rPr>
      <t xml:space="preserve"> durch bspw. Dachbegrünung
</t>
    </r>
    <r>
      <rPr>
        <b/>
        <sz val="10.5"/>
        <color theme="1"/>
        <rFont val="Arial"/>
        <family val="2"/>
      </rPr>
      <t>2. Priorität:</t>
    </r>
    <r>
      <rPr>
        <sz val="10.5"/>
        <color theme="1"/>
        <rFont val="Arial"/>
        <family val="2"/>
      </rPr>
      <t xml:space="preserve"> Nicht verschmutztes Niederschlagsabwasser ist </t>
    </r>
    <r>
      <rPr>
        <b/>
        <sz val="10.5"/>
        <color theme="1"/>
        <rFont val="Arial"/>
        <family val="2"/>
      </rPr>
      <t>vor Ort zu versickern</t>
    </r>
    <r>
      <rPr>
        <sz val="10.5"/>
        <color theme="1"/>
        <rFont val="Arial"/>
        <family val="2"/>
      </rPr>
      <t xml:space="preserve"> (GSchG Art. 7 Abs. 2), nach Möglichkeit oberflächlich.
Erlauben die örtlichen Verhältnisse eine vollständige Versickerung nicht, sind </t>
    </r>
    <r>
      <rPr>
        <b/>
        <sz val="10.5"/>
        <color theme="1"/>
        <rFont val="Arial"/>
        <family val="2"/>
      </rPr>
      <t>Teilversickerungen</t>
    </r>
    <r>
      <rPr>
        <sz val="10.5"/>
        <color theme="1"/>
        <rFont val="Arial"/>
        <family val="2"/>
      </rPr>
      <t xml:space="preserve"> vorzusehen.
Alternativ kann eine geeignete Bodenschicht eingebracht werden.
</t>
    </r>
    <r>
      <rPr>
        <b/>
        <sz val="10.5"/>
        <color theme="1"/>
        <rFont val="Arial"/>
        <family val="2"/>
      </rPr>
      <t>3. Priorität:</t>
    </r>
    <r>
      <rPr>
        <sz val="10.5"/>
        <color theme="1"/>
        <rFont val="Arial"/>
        <family val="2"/>
      </rPr>
      <t xml:space="preserve"> Ist eine Versickerung nicht möglich, kann das Niederschlagsabwasser in die </t>
    </r>
    <r>
      <rPr>
        <b/>
        <sz val="10.5"/>
        <color theme="1"/>
        <rFont val="Arial"/>
        <family val="2"/>
      </rPr>
      <t>Meteorabwasser-kanalisation oder in ein Oberflächengewässer</t>
    </r>
    <r>
      <rPr>
        <sz val="10.5"/>
        <color theme="1"/>
        <rFont val="Arial"/>
        <family val="2"/>
      </rPr>
      <t xml:space="preserve"> eingeleitet werden.
</t>
    </r>
    <r>
      <rPr>
        <b/>
        <sz val="10.5"/>
        <color theme="1"/>
        <rFont val="Arial"/>
        <family val="2"/>
      </rPr>
      <t>4. Priorität/Ausnahmen:</t>
    </r>
    <r>
      <rPr>
        <sz val="10.5"/>
        <color theme="1"/>
        <rFont val="Arial"/>
        <family val="2"/>
      </rPr>
      <t xml:space="preserve"> Ist auch dies nicht möglich, kann die Ableitung in die Mischabwasserkanalisation erfolgen</t>
    </r>
  </si>
  <si>
    <r>
      <t>Die Zulässigkeitsprüfung der hydraulischen Belastung erfolgt automatisch.
Schritt 1: Initiale Berechnung mit tiefem q₃₄₇
• VG ≥ 0.1 --&gt; Keine Retention erforderlich --&gt; Berechnung abgeschlossen
• VG &lt; 0.1 --&gt; Retention erforderlich --&gt; weiter zu Schritt 2
Schritt 2: Berechnung mit höherem q₃₄₇
• VG &lt; 0.1</t>
    </r>
    <r>
      <rPr>
        <sz val="10.5"/>
        <color rgb="FFFF0000"/>
        <rFont val="Arial"/>
        <family val="2"/>
      </rPr>
      <t xml:space="preserve"> </t>
    </r>
    <r>
      <rPr>
        <sz val="10.5"/>
        <rFont val="Arial"/>
        <family val="2"/>
      </rPr>
      <t>--&gt; Retention erforderlich --&gt; "Abflussbeiwert für Retentionsberechnung" in Tabellenblatt «Retentionsanlage» übernehmen --&gt; Retention mit z = 5 berechnen
• VG ≥ 0.1  --&gt; keine Retention erforderlich --&gt;exakten Wert q₃₄₇ bei der Abteilung Abwasser (info.budawe@sg.ch) beziehen und erneut berechnen
--&gt; VG ≥ 0.1 --&gt; Keine Retention erforderlich --&gt;Berechnung abgeschlossen
--&gt; VG &lt; 0.1 --&gt; Retention erforderlich --&gt; «Abflussbeiwert  für Retentionsberechnung» in Tabellenblatt «Retentionsanlage» übernehmen --&gt; Retention mit z = 5 berechnen</t>
    </r>
  </si>
  <si>
    <r>
      <t xml:space="preserve">Die </t>
    </r>
    <r>
      <rPr>
        <b/>
        <sz val="10.5"/>
        <rFont val="Arial"/>
        <family val="2"/>
      </rPr>
      <t>spezifische Sickerleistung (S</t>
    </r>
    <r>
      <rPr>
        <b/>
        <vertAlign val="subscript"/>
        <sz val="10.5"/>
        <rFont val="Arial"/>
        <family val="2"/>
      </rPr>
      <t>Spez</t>
    </r>
    <r>
      <rPr>
        <b/>
        <sz val="10.5"/>
        <rFont val="Arial"/>
        <family val="2"/>
      </rPr>
      <t xml:space="preserve">) </t>
    </r>
    <r>
      <rPr>
        <sz val="10.5"/>
        <rFont val="Arial"/>
        <family val="2"/>
      </rPr>
      <t xml:space="preserve">ist einzutragen.  Ist eine vollständige Versickerung nicht möglich, ist eine Teilversickerung zu prüfen. Die </t>
    </r>
    <r>
      <rPr>
        <b/>
        <sz val="10.5"/>
        <rFont val="Arial"/>
        <family val="2"/>
      </rPr>
      <t>verfügbare Sickerfläche (A</t>
    </r>
    <r>
      <rPr>
        <b/>
        <vertAlign val="subscript"/>
        <sz val="10.5"/>
        <rFont val="Arial"/>
        <family val="2"/>
      </rPr>
      <t>S</t>
    </r>
    <r>
      <rPr>
        <b/>
        <sz val="10.5"/>
        <rFont val="Arial"/>
        <family val="2"/>
      </rPr>
      <t xml:space="preserve">) </t>
    </r>
    <r>
      <rPr>
        <sz val="10.5"/>
        <rFont val="Arial"/>
        <family val="2"/>
      </rPr>
      <t>ist vom Anwender festzulegen. Das erforderliche</t>
    </r>
    <r>
      <rPr>
        <b/>
        <sz val="10.5"/>
        <rFont val="Arial"/>
        <family val="2"/>
      </rPr>
      <t xml:space="preserve"> Versickerungsvolumen,</t>
    </r>
    <r>
      <rPr>
        <sz val="10.5"/>
        <rFont val="Arial"/>
        <family val="2"/>
      </rPr>
      <t xml:space="preserve"> die </t>
    </r>
    <r>
      <rPr>
        <b/>
        <sz val="10.5"/>
        <rFont val="Arial"/>
        <family val="2"/>
      </rPr>
      <t>Entleerungsdauer</t>
    </r>
    <r>
      <rPr>
        <sz val="10.5"/>
        <rFont val="Arial"/>
        <family val="2"/>
      </rPr>
      <t xml:space="preserve"> sowie die </t>
    </r>
    <r>
      <rPr>
        <b/>
        <sz val="10.5"/>
        <rFont val="Arial"/>
        <family val="2"/>
      </rPr>
      <t>Dimensionierungsbeispiele für Versickerungskörper</t>
    </r>
    <r>
      <rPr>
        <sz val="10.5"/>
        <rFont val="Arial"/>
        <family val="2"/>
      </rPr>
      <t xml:space="preserve"> werden automatisch berechnet. </t>
    </r>
    <r>
      <rPr>
        <b/>
        <sz val="10.5"/>
        <rFont val="Arial"/>
        <family val="2"/>
      </rPr>
      <t xml:space="preserve">Die Anlage muss für Betrieb und Unterhalt zugänglich sein. </t>
    </r>
    <r>
      <rPr>
        <sz val="10.5"/>
        <rFont val="Arial"/>
        <family val="2"/>
      </rPr>
      <t>In grundwasserführenden Gebieten ist die Sohle ist mindestens 1 m über dem höchsten 10-jährlichen Grundwasserspiegel anzuordnen. Abweichungen sind mit der Bewilligungsbehörde abzustimmen.</t>
    </r>
  </si>
  <si>
    <r>
      <t xml:space="preserve"> - Bundesgesetz über den Schutz der Gewässer (</t>
    </r>
    <r>
      <rPr>
        <b/>
        <sz val="10.5"/>
        <rFont val="Arial"/>
        <family val="2"/>
      </rPr>
      <t>GSchG, SR 814.20</t>
    </r>
    <r>
      <rPr>
        <sz val="10.5"/>
        <rFont val="Arial"/>
        <family val="2"/>
      </rPr>
      <t>)
 - Vollzugsgesetz zur eidgenössischen Gewässerschutzgesetzgebung (</t>
    </r>
    <r>
      <rPr>
        <b/>
        <sz val="10.5"/>
        <rFont val="Arial"/>
        <family val="2"/>
      </rPr>
      <t>GSchVG, sGS 752.2</t>
    </r>
    <r>
      <rPr>
        <sz val="10.5"/>
        <rFont val="Arial"/>
        <family val="2"/>
      </rPr>
      <t>)
 - Gewässerschutzverordnung (</t>
    </r>
    <r>
      <rPr>
        <b/>
        <sz val="10.5"/>
        <rFont val="Arial"/>
        <family val="2"/>
      </rPr>
      <t>GSchV, SR 814.201</t>
    </r>
    <r>
      <rPr>
        <sz val="10.5"/>
        <rFont val="Arial"/>
        <family val="2"/>
      </rPr>
      <t>)
 - Verordnung zum Vollzugsgesetz zur eidgenössischen Gewässerschutzgesetzgebung (</t>
    </r>
    <r>
      <rPr>
        <b/>
        <sz val="10.5"/>
        <rFont val="Arial"/>
        <family val="2"/>
      </rPr>
      <t>GSchVV, sGS 752.21</t>
    </r>
    <r>
      <rPr>
        <sz val="10.5"/>
        <rFont val="Arial"/>
        <family val="2"/>
      </rPr>
      <t xml:space="preserve">)
 - Schweizer Norm </t>
    </r>
    <r>
      <rPr>
        <b/>
        <sz val="10.5"/>
        <rFont val="Arial"/>
        <family val="2"/>
      </rPr>
      <t>SN 592 000:2024</t>
    </r>
    <r>
      <rPr>
        <sz val="10.5"/>
        <rFont val="Arial"/>
        <family val="2"/>
      </rPr>
      <t xml:space="preserve"> 
 - </t>
    </r>
    <r>
      <rPr>
        <b/>
        <sz val="10.5"/>
        <rFont val="Arial"/>
        <family val="2"/>
      </rPr>
      <t>VSA-Richtlinie «Abwasserbewirtschaftung bei Regenwetter», 2019</t>
    </r>
    <r>
      <rPr>
        <sz val="10.5"/>
        <rFont val="Arial"/>
        <family val="2"/>
      </rPr>
      <t xml:space="preserve">
 - Merkblatt</t>
    </r>
    <r>
      <rPr>
        <b/>
        <sz val="10.5"/>
        <rFont val="Arial"/>
        <family val="2"/>
      </rPr>
      <t xml:space="preserve"> AWE 184 «Regenwasserentsorgung»</t>
    </r>
    <r>
      <rPr>
        <sz val="10.5"/>
        <rFont val="Arial"/>
        <family val="2"/>
      </rPr>
      <t xml:space="preserve"> und </t>
    </r>
    <r>
      <rPr>
        <b/>
        <sz val="10.5"/>
        <rFont val="Arial"/>
        <family val="2"/>
      </rPr>
      <t>«Planungshilfe zum Merkblatt AWE 184»</t>
    </r>
    <r>
      <rPr>
        <sz val="10.5"/>
        <rFont val="Arial"/>
        <family val="2"/>
      </rPr>
      <t xml:space="preserve">
 - Genereller Entwässerungsplan (GEP) der Gemeinde</t>
    </r>
  </si>
  <si>
    <t xml:space="preserve">- VSA-Merkblatt «Niederschlagswasser für geübte Anwender» </t>
  </si>
  <si>
    <t xml:space="preserve">Merkblätter </t>
  </si>
  <si>
    <t>Links</t>
  </si>
  <si>
    <t xml:space="preserve"> - Planungshilfe zum Merkblatt AWE 184</t>
  </si>
  <si>
    <t xml:space="preserve"> - Merkblatt AWE 184 Regenwasserentsorgung</t>
  </si>
  <si>
    <r>
      <t>Bei Direkteinleitungen in Oberflächengewässer ist stets ein</t>
    </r>
    <r>
      <rPr>
        <b/>
        <sz val="10.5"/>
        <color theme="1"/>
        <rFont val="Arial"/>
        <family val="2"/>
      </rPr>
      <t xml:space="preserve"> Schlammsammler mit erhöhten Anforderungen</t>
    </r>
    <r>
      <rPr>
        <sz val="10.5"/>
        <color theme="1"/>
        <rFont val="Arial"/>
        <family val="2"/>
      </rPr>
      <t xml:space="preserve"> gemäss SN 592 000:2024 vorzusehen. 
Im Kanton St.Gallen wird auf die Anwendung der</t>
    </r>
    <r>
      <rPr>
        <b/>
        <sz val="10.5"/>
        <color theme="1"/>
        <rFont val="Arial"/>
        <family val="2"/>
      </rPr>
      <t xml:space="preserve"> Bagatellgrenze von 20</t>
    </r>
    <r>
      <rPr>
        <b/>
        <sz val="10.5"/>
        <rFont val="Arial"/>
        <family val="2"/>
      </rPr>
      <t xml:space="preserve"> l/s</t>
    </r>
    <r>
      <rPr>
        <b/>
        <sz val="10.5"/>
        <color theme="1"/>
        <rFont val="Arial"/>
        <family val="2"/>
      </rPr>
      <t xml:space="preserve"> verzichtet</t>
    </r>
    <r>
      <rPr>
        <sz val="10.5"/>
        <color theme="1"/>
        <rFont val="Arial"/>
        <family val="2"/>
      </rPr>
      <t xml:space="preserve">, da insbesondere kleine Gewässer als ökologisch sensibel gelten und entsprechend erhöht geschützt werden.
Die Retentionspflicht bei </t>
    </r>
    <r>
      <rPr>
        <b/>
        <sz val="10.5"/>
        <color theme="1"/>
        <rFont val="Arial"/>
        <family val="2"/>
      </rPr>
      <t>Direkteinleitungen in grosse Gewässer und Seen</t>
    </r>
    <r>
      <rPr>
        <sz val="10.5"/>
        <color theme="1"/>
        <rFont val="Arial"/>
        <family val="2"/>
      </rPr>
      <t xml:space="preserve"> ist vorgängig gemäss </t>
    </r>
    <r>
      <rPr>
        <b/>
        <sz val="10.5"/>
        <color theme="1"/>
        <rFont val="Arial"/>
        <family val="2"/>
      </rPr>
      <t xml:space="preserve">Merkblatt AWE 184 «Regenwasserentsorgung» </t>
    </r>
    <r>
      <rPr>
        <sz val="10.5"/>
        <color theme="1"/>
        <rFont val="Arial"/>
        <family val="2"/>
      </rPr>
      <t>zu beurteilen.</t>
    </r>
  </si>
  <si>
    <t>V 0.2</t>
  </si>
  <si>
    <t>Zone Zentrum</t>
  </si>
  <si>
    <t>Z. Zentrum</t>
  </si>
  <si>
    <t>Gewerbe- und Industriezone 1</t>
  </si>
  <si>
    <t>GI1</t>
  </si>
  <si>
    <t>Gewerbe- und Industriezone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</si>
</sst>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 #,##0.00_ ;_ * \-#,##0.00_ ;_ * &quot;-&quot;??_ ;_ @_ "/>
    <numFmt numFmtId="164" formatCode="0.0"/>
    <numFmt numFmtId="165" formatCode="0.000"/>
    <numFmt numFmtId="166" formatCode="0.0000"/>
    <numFmt numFmtId="167" formatCode="0&quot; m3&quot;"/>
    <numFmt numFmtId="168" formatCode="0.00&quot; m&quot;"/>
  </numFmts>
  <fonts count="8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i/>
      <sz val="10"/>
      <name val="Arial"/>
      <family val="2"/>
    </font>
    <font>
      <b/>
      <sz val="10"/>
      <name val="Arial"/>
      <family val="2"/>
    </font>
    <font>
      <sz val="10"/>
      <name val="Arial"/>
      <family val="2"/>
    </font>
    <font>
      <sz val="11"/>
      <name val="Arial"/>
      <family val="2"/>
    </font>
    <font>
      <sz val="10"/>
      <name val="Calibri"/>
      <family val="2"/>
    </font>
    <font>
      <vertAlign val="superscript"/>
      <sz val="10"/>
      <name val="Arial"/>
      <family val="2"/>
    </font>
    <font>
      <sz val="8"/>
      <name val="Arial"/>
      <family val="2"/>
    </font>
    <font>
      <b/>
      <sz val="11"/>
      <name val="Arial"/>
      <family val="2"/>
    </font>
    <font>
      <b/>
      <vertAlign val="superscript"/>
      <sz val="11"/>
      <name val="Arial"/>
      <family val="2"/>
    </font>
    <font>
      <b/>
      <sz val="10"/>
      <color rgb="FFFF0000"/>
      <name val="Arial"/>
      <family val="2"/>
    </font>
    <font>
      <vertAlign val="subscript"/>
      <sz val="10"/>
      <name val="Arial"/>
      <family val="2"/>
    </font>
    <font>
      <i/>
      <sz val="8"/>
      <name val="Arial"/>
      <family val="2"/>
    </font>
    <font>
      <i/>
      <sz val="10"/>
      <name val="Symbol"/>
      <family val="1"/>
      <charset val="2"/>
    </font>
    <font>
      <i/>
      <vertAlign val="subscript"/>
      <sz val="10"/>
      <name val="Arial"/>
      <family val="2"/>
    </font>
    <font>
      <b/>
      <sz val="11"/>
      <color rgb="FFFF0000"/>
      <name val="Arial"/>
      <family val="2"/>
    </font>
    <font>
      <sz val="10"/>
      <name val="Arial"/>
      <family val="1"/>
      <charset val="2"/>
    </font>
    <font>
      <sz val="9"/>
      <name val="Arial"/>
      <family val="2"/>
    </font>
    <font>
      <sz val="11"/>
      <color rgb="FFFF0000"/>
      <name val="Arial"/>
      <family val="2"/>
    </font>
    <font>
      <sz val="12"/>
      <name val="Arial"/>
      <family val="2"/>
    </font>
    <font>
      <b/>
      <i/>
      <sz val="16"/>
      <name val="Arial"/>
      <family val="2"/>
    </font>
    <font>
      <sz val="9"/>
      <color indexed="81"/>
      <name val="Segoe UI"/>
      <family val="2"/>
    </font>
    <font>
      <sz val="10"/>
      <color rgb="FFFF0000"/>
      <name val="Arial"/>
      <family val="2"/>
    </font>
    <font>
      <b/>
      <sz val="12"/>
      <name val="Arial"/>
      <family val="2"/>
    </font>
    <font>
      <b/>
      <sz val="9"/>
      <color indexed="81"/>
      <name val="Segoe UI"/>
      <family val="2"/>
    </font>
    <font>
      <b/>
      <sz val="11"/>
      <color theme="1"/>
      <name val="Calibri"/>
      <family val="2"/>
      <scheme val="minor"/>
    </font>
    <font>
      <sz val="9"/>
      <name val="Univers 45 Light"/>
    </font>
    <font>
      <vertAlign val="subscript"/>
      <sz val="9"/>
      <name val="Univers 45 Light"/>
    </font>
    <font>
      <vertAlign val="superscript"/>
      <sz val="9"/>
      <name val="Univers 45 Light"/>
    </font>
    <font>
      <i/>
      <sz val="10"/>
      <name val="Arial"/>
      <family val="2"/>
    </font>
    <font>
      <b/>
      <sz val="14"/>
      <name val="Arial"/>
      <family val="2"/>
    </font>
    <font>
      <i/>
      <sz val="11"/>
      <color theme="1"/>
      <name val="Calibri"/>
      <family val="2"/>
      <scheme val="minor"/>
    </font>
    <font>
      <i/>
      <sz val="11"/>
      <name val="Calibri"/>
      <family val="2"/>
      <scheme val="minor"/>
    </font>
    <font>
      <sz val="10"/>
      <color theme="1" tint="0.499984740745262"/>
      <name val="Arial"/>
      <family val="2"/>
    </font>
    <font>
      <b/>
      <sz val="10"/>
      <color theme="1" tint="0.499984740745262"/>
      <name val="Arial"/>
      <family val="2"/>
    </font>
    <font>
      <i/>
      <sz val="9"/>
      <name val="Arial"/>
      <family val="2"/>
    </font>
    <font>
      <sz val="10"/>
      <color theme="0" tint="-0.14999847407452621"/>
      <name val="Arial"/>
      <family val="2"/>
    </font>
    <font>
      <sz val="8"/>
      <name val="Calibri"/>
      <family val="2"/>
      <scheme val="minor"/>
    </font>
    <font>
      <sz val="11"/>
      <color rgb="FF000000"/>
      <name val="Calibri"/>
      <family val="2"/>
    </font>
    <font>
      <sz val="10"/>
      <color rgb="FF000000"/>
      <name val="Arial"/>
      <family val="2"/>
    </font>
    <font>
      <sz val="10"/>
      <color theme="0"/>
      <name val="Arial"/>
      <family val="2"/>
    </font>
    <font>
      <vertAlign val="subscript"/>
      <sz val="10"/>
      <color rgb="FFFF0000"/>
      <name val="Arial"/>
      <family val="2"/>
    </font>
    <font>
      <vertAlign val="superscript"/>
      <sz val="10"/>
      <color rgb="FFFF0000"/>
      <name val="Arial"/>
      <family val="2"/>
    </font>
    <font>
      <sz val="10"/>
      <color rgb="FFFF0000"/>
      <name val="Symbol"/>
      <family val="1"/>
      <charset val="2"/>
    </font>
    <font>
      <vertAlign val="superscript"/>
      <sz val="8"/>
      <name val="Arial"/>
      <family val="2"/>
    </font>
    <font>
      <strike/>
      <sz val="10"/>
      <name val="Arial"/>
      <family val="2"/>
    </font>
    <font>
      <vertAlign val="subscript"/>
      <sz val="10"/>
      <color theme="1"/>
      <name val="Arial"/>
      <family val="2"/>
    </font>
    <font>
      <b/>
      <sz val="11"/>
      <color theme="1"/>
      <name val="Arial"/>
      <family val="2"/>
    </font>
    <font>
      <sz val="11"/>
      <color theme="1"/>
      <name val="Arial"/>
      <family val="2"/>
    </font>
    <font>
      <vertAlign val="superscript"/>
      <sz val="10"/>
      <color theme="1"/>
      <name val="Arial"/>
      <family val="2"/>
    </font>
    <font>
      <vertAlign val="subscript"/>
      <sz val="10"/>
      <color theme="1" tint="0.499984740745262"/>
      <name val="Arial"/>
      <family val="2"/>
    </font>
    <font>
      <u/>
      <sz val="11"/>
      <color theme="10"/>
      <name val="Calibri"/>
      <family val="2"/>
      <scheme val="minor"/>
    </font>
    <font>
      <u/>
      <sz val="8"/>
      <name val="Calibri"/>
      <family val="2"/>
      <scheme val="minor"/>
    </font>
    <font>
      <b/>
      <vertAlign val="subscript"/>
      <sz val="11"/>
      <name val="Arial"/>
      <family val="2"/>
    </font>
    <font>
      <b/>
      <sz val="11"/>
      <name val="Calibri"/>
      <family val="2"/>
      <scheme val="minor"/>
    </font>
    <font>
      <b/>
      <sz val="14"/>
      <color rgb="FFFF0000"/>
      <name val="Arial"/>
      <family val="2"/>
    </font>
    <font>
      <sz val="11"/>
      <color rgb="FFFF0000"/>
      <name val="Calibri"/>
      <family val="2"/>
      <scheme val="minor"/>
    </font>
    <font>
      <b/>
      <sz val="10.5"/>
      <name val="Arial"/>
      <family val="2"/>
    </font>
    <font>
      <sz val="10.5"/>
      <name val="Arial"/>
      <family val="2"/>
    </font>
    <font>
      <sz val="14"/>
      <color theme="1"/>
      <name val="Arial"/>
      <family val="2"/>
    </font>
    <font>
      <sz val="10.5"/>
      <color rgb="FFFF0000"/>
      <name val="Arial"/>
      <family val="2"/>
    </font>
    <font>
      <sz val="10.5"/>
      <color theme="1"/>
      <name val="Arial"/>
      <family val="2"/>
    </font>
    <font>
      <b/>
      <sz val="10.5"/>
      <color theme="1"/>
      <name val="Arial"/>
      <family val="2"/>
    </font>
    <font>
      <b/>
      <vertAlign val="subscript"/>
      <sz val="10.5"/>
      <name val="Arial"/>
      <family val="2"/>
    </font>
    <font>
      <vertAlign val="subscript"/>
      <sz val="10.5"/>
      <name val="Arial"/>
      <family val="2"/>
    </font>
    <font>
      <u/>
      <sz val="10.5"/>
      <color theme="10"/>
      <name val="Arial"/>
      <family val="2"/>
    </font>
  </fonts>
  <fills count="13">
    <fill>
      <patternFill patternType="none"/>
    </fill>
    <fill>
      <patternFill patternType="gray125"/>
    </fill>
    <fill>
      <patternFill patternType="solid">
        <fgColor indexed="5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5" tint="0.599963377788628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auto="1"/>
      </left>
      <right/>
      <top style="medium">
        <color auto="1"/>
      </top>
      <bottom/>
      <diagonal/>
    </border>
    <border>
      <left/>
      <right style="medium">
        <color auto="1"/>
      </right>
      <top/>
      <bottom style="medium">
        <color auto="1"/>
      </bottom>
      <diagonal/>
    </border>
    <border>
      <left/>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right/>
      <top style="medium">
        <color auto="1"/>
      </top>
      <bottom/>
      <diagonal/>
    </border>
    <border>
      <left style="thin">
        <color auto="1"/>
      </left>
      <right/>
      <top style="thin">
        <color auto="1"/>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8">
    <xf numFmtId="0" fontId="0" fillId="0" borderId="0"/>
    <xf numFmtId="0" fontId="18" fillId="0" borderId="0"/>
    <xf numFmtId="9" fontId="18"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3" fillId="0" borderId="0"/>
    <xf numFmtId="43" fontId="13" fillId="0" borderId="0" applyFont="0" applyFill="0" applyBorder="0" applyAlignment="0" applyProtection="0"/>
    <xf numFmtId="0" fontId="12" fillId="0" borderId="0"/>
    <xf numFmtId="0" fontId="11" fillId="0" borderId="0"/>
    <xf numFmtId="0" fontId="10" fillId="0" borderId="0"/>
    <xf numFmtId="0" fontId="9" fillId="0" borderId="0"/>
    <xf numFmtId="0" fontId="53" fillId="0" borderId="0"/>
    <xf numFmtId="0" fontId="8" fillId="0" borderId="0"/>
    <xf numFmtId="0" fontId="7" fillId="0" borderId="0"/>
    <xf numFmtId="0" fontId="6" fillId="0" borderId="0"/>
    <xf numFmtId="0" fontId="5" fillId="0" borderId="0"/>
    <xf numFmtId="0" fontId="66" fillId="0" borderId="0" applyNumberFormat="0" applyFill="0" applyBorder="0" applyAlignment="0" applyProtection="0"/>
  </cellStyleXfs>
  <cellXfs count="377">
    <xf numFmtId="0" fontId="0" fillId="0" borderId="0" xfId="0"/>
    <xf numFmtId="0" fontId="16" fillId="0" borderId="1" xfId="0" applyFont="1" applyBorder="1" applyProtection="1">
      <protection hidden="1"/>
    </xf>
    <xf numFmtId="0" fontId="0" fillId="0" borderId="1" xfId="0" applyBorder="1" applyProtection="1">
      <protection hidden="1"/>
    </xf>
    <xf numFmtId="164" fontId="0" fillId="0" borderId="0" xfId="0" applyNumberFormat="1" applyAlignment="1" applyProtection="1">
      <alignment horizontal="center"/>
      <protection hidden="1"/>
    </xf>
    <xf numFmtId="1" fontId="0" fillId="0" borderId="0" xfId="0" applyNumberFormat="1" applyAlignment="1" applyProtection="1">
      <alignment horizontal="right" indent="2"/>
      <protection hidden="1"/>
    </xf>
    <xf numFmtId="1" fontId="0" fillId="0" borderId="0" xfId="0" applyNumberFormat="1" applyAlignment="1" applyProtection="1">
      <alignment horizontal="right" indent="1"/>
      <protection hidden="1"/>
    </xf>
    <xf numFmtId="1" fontId="0" fillId="0" borderId="0" xfId="0" applyNumberFormat="1" applyAlignment="1" applyProtection="1">
      <alignment horizontal="right"/>
      <protection hidden="1"/>
    </xf>
    <xf numFmtId="0" fontId="18" fillId="0" borderId="0" xfId="1"/>
    <xf numFmtId="0" fontId="18" fillId="2" borderId="0" xfId="1" applyFill="1"/>
    <xf numFmtId="0" fontId="18" fillId="0" borderId="0" xfId="1" applyAlignment="1">
      <alignment horizontal="left" vertical="center"/>
    </xf>
    <xf numFmtId="0" fontId="18" fillId="3" borderId="0" xfId="1" applyFill="1" applyAlignment="1">
      <alignment horizontal="left" vertical="center"/>
    </xf>
    <xf numFmtId="0" fontId="18" fillId="0" borderId="7" xfId="1" applyBorder="1" applyAlignment="1">
      <alignment horizontal="left" vertical="center"/>
    </xf>
    <xf numFmtId="0" fontId="19" fillId="2" borderId="0" xfId="1" applyFont="1" applyFill="1"/>
    <xf numFmtId="0" fontId="19" fillId="0" borderId="6" xfId="1" applyFont="1" applyBorder="1"/>
    <xf numFmtId="0" fontId="19" fillId="0" borderId="9" xfId="1" applyFont="1" applyBorder="1"/>
    <xf numFmtId="0" fontId="18" fillId="0" borderId="10" xfId="1" applyBorder="1" applyAlignment="1">
      <alignment horizontal="left" vertical="center"/>
    </xf>
    <xf numFmtId="0" fontId="18" fillId="0" borderId="0" xfId="1" applyAlignment="1">
      <alignment vertical="center"/>
    </xf>
    <xf numFmtId="0" fontId="19" fillId="2" borderId="0" xfId="1" applyFont="1" applyFill="1" applyAlignment="1">
      <alignment vertical="center"/>
    </xf>
    <xf numFmtId="0" fontId="19" fillId="0" borderId="9" xfId="1" applyFont="1" applyBorder="1" applyAlignment="1">
      <alignment vertical="center"/>
    </xf>
    <xf numFmtId="0" fontId="18" fillId="0" borderId="10" xfId="1" applyBorder="1"/>
    <xf numFmtId="0" fontId="18" fillId="0" borderId="0" xfId="1" applyAlignment="1">
      <alignment horizontal="right" vertical="center" indent="1"/>
    </xf>
    <xf numFmtId="0" fontId="18" fillId="0" borderId="10" xfId="1" applyBorder="1" applyAlignment="1">
      <alignment vertical="center"/>
    </xf>
    <xf numFmtId="0" fontId="19" fillId="0" borderId="0" xfId="1" applyFont="1"/>
    <xf numFmtId="0" fontId="30" fillId="0" borderId="0" xfId="1" applyFont="1"/>
    <xf numFmtId="0" fontId="23" fillId="0" borderId="0" xfId="1" applyFont="1"/>
    <xf numFmtId="0" fontId="19" fillId="0" borderId="7" xfId="1" applyFont="1" applyBorder="1"/>
    <xf numFmtId="0" fontId="19" fillId="0" borderId="8" xfId="1" applyFont="1" applyBorder="1"/>
    <xf numFmtId="0" fontId="18" fillId="0" borderId="0" xfId="1" applyAlignment="1">
      <alignment horizontal="center" vertical="center"/>
    </xf>
    <xf numFmtId="0" fontId="34" fillId="2" borderId="0" xfId="1" applyFont="1" applyFill="1"/>
    <xf numFmtId="0" fontId="35" fillId="0" borderId="0" xfId="1" applyFont="1"/>
    <xf numFmtId="0" fontId="18" fillId="0" borderId="7" xfId="1" applyBorder="1"/>
    <xf numFmtId="0" fontId="18" fillId="0" borderId="0" xfId="1" applyProtection="1">
      <protection hidden="1"/>
    </xf>
    <xf numFmtId="165" fontId="18" fillId="0" borderId="0" xfId="1" applyNumberFormat="1" applyProtection="1">
      <protection hidden="1"/>
    </xf>
    <xf numFmtId="164" fontId="18" fillId="0" borderId="0" xfId="1" applyNumberFormat="1" applyAlignment="1">
      <alignment horizontal="center" vertical="center"/>
    </xf>
    <xf numFmtId="0" fontId="17" fillId="0" borderId="0" xfId="1" applyFont="1" applyProtection="1">
      <protection hidden="1"/>
    </xf>
    <xf numFmtId="1" fontId="18" fillId="0" borderId="0" xfId="1" applyNumberFormat="1" applyAlignment="1" applyProtection="1">
      <alignment horizontal="right" indent="1"/>
      <protection hidden="1"/>
    </xf>
    <xf numFmtId="1" fontId="18" fillId="0" borderId="0" xfId="1" applyNumberFormat="1" applyAlignment="1" applyProtection="1">
      <alignment horizontal="right"/>
      <protection hidden="1"/>
    </xf>
    <xf numFmtId="164" fontId="18" fillId="0" borderId="0" xfId="1" applyNumberFormat="1" applyProtection="1">
      <protection hidden="1"/>
    </xf>
    <xf numFmtId="2" fontId="18" fillId="0" borderId="0" xfId="1" applyNumberFormat="1" applyProtection="1">
      <protection hidden="1"/>
    </xf>
    <xf numFmtId="0" fontId="17" fillId="0" borderId="0" xfId="1" applyFont="1" applyAlignment="1">
      <alignment horizontal="center"/>
    </xf>
    <xf numFmtId="0" fontId="22" fillId="0" borderId="6" xfId="1" applyFont="1" applyBorder="1" applyAlignment="1">
      <alignment horizontal="center" vertical="center"/>
    </xf>
    <xf numFmtId="0" fontId="22" fillId="0" borderId="8" xfId="1" applyFont="1" applyBorder="1" applyAlignment="1">
      <alignment horizontal="center" vertical="center"/>
    </xf>
    <xf numFmtId="164" fontId="22" fillId="0" borderId="8" xfId="1" applyNumberFormat="1" applyFont="1" applyBorder="1" applyAlignment="1">
      <alignment horizontal="center" vertical="center"/>
    </xf>
    <xf numFmtId="1" fontId="22" fillId="0" borderId="8" xfId="1" applyNumberFormat="1" applyFont="1" applyBorder="1" applyAlignment="1">
      <alignment horizontal="center" vertical="center"/>
    </xf>
    <xf numFmtId="0" fontId="22" fillId="0" borderId="3" xfId="1" applyFont="1" applyBorder="1" applyAlignment="1">
      <alignment horizontal="center" vertical="center"/>
    </xf>
    <xf numFmtId="0" fontId="22" fillId="0" borderId="9" xfId="1" applyFont="1" applyBorder="1" applyAlignment="1">
      <alignment horizontal="center" vertical="center"/>
    </xf>
    <xf numFmtId="0" fontId="22" fillId="0" borderId="0" xfId="1" applyFont="1" applyAlignment="1">
      <alignment horizontal="center" vertical="center"/>
    </xf>
    <xf numFmtId="164" fontId="22" fillId="0" borderId="0" xfId="1" applyNumberFormat="1" applyFont="1" applyAlignment="1">
      <alignment horizontal="center" vertical="center"/>
    </xf>
    <xf numFmtId="1" fontId="22" fillId="0" borderId="0" xfId="1" applyNumberFormat="1" applyFont="1" applyAlignment="1">
      <alignment horizontal="center" vertical="center"/>
    </xf>
    <xf numFmtId="0" fontId="22" fillId="0" borderId="10" xfId="1" applyFont="1" applyBorder="1" applyAlignment="1">
      <alignment horizontal="center" vertical="center"/>
    </xf>
    <xf numFmtId="0" fontId="25" fillId="0" borderId="0" xfId="1" applyFont="1" applyProtection="1">
      <protection hidden="1"/>
    </xf>
    <xf numFmtId="164" fontId="18" fillId="4" borderId="5" xfId="1" applyNumberFormat="1" applyFill="1" applyBorder="1" applyAlignment="1">
      <alignment horizontal="center" vertical="center"/>
    </xf>
    <xf numFmtId="0" fontId="22" fillId="0" borderId="7" xfId="1" applyFont="1" applyBorder="1" applyAlignment="1">
      <alignment horizontal="center" vertical="center"/>
    </xf>
    <xf numFmtId="0" fontId="18" fillId="0" borderId="7" xfId="1" applyBorder="1" applyAlignment="1">
      <alignment horizontal="center" vertical="center"/>
    </xf>
    <xf numFmtId="164" fontId="18" fillId="4" borderId="7" xfId="1" applyNumberFormat="1" applyFill="1" applyBorder="1" applyAlignment="1">
      <alignment horizontal="center" vertical="center"/>
    </xf>
    <xf numFmtId="0" fontId="22" fillId="0" borderId="7" xfId="1" applyFont="1" applyBorder="1" applyAlignment="1">
      <alignment horizontal="left" vertical="center"/>
    </xf>
    <xf numFmtId="164" fontId="18" fillId="4" borderId="17" xfId="1" applyNumberFormat="1" applyFill="1" applyBorder="1" applyAlignment="1">
      <alignment horizontal="center" vertical="center"/>
    </xf>
    <xf numFmtId="0" fontId="18" fillId="0" borderId="1" xfId="1" applyBorder="1" applyProtection="1">
      <protection locked="0" hidden="1"/>
    </xf>
    <xf numFmtId="0" fontId="18" fillId="0" borderId="0" xfId="1" applyAlignment="1" applyProtection="1">
      <alignment vertical="center"/>
      <protection hidden="1"/>
    </xf>
    <xf numFmtId="1" fontId="18" fillId="0" borderId="1" xfId="1" applyNumberFormat="1" applyBorder="1" applyAlignment="1" applyProtection="1">
      <alignment vertical="center"/>
      <protection hidden="1"/>
    </xf>
    <xf numFmtId="0" fontId="18" fillId="0" borderId="0" xfId="1" applyAlignment="1" applyProtection="1">
      <alignment wrapText="1"/>
      <protection hidden="1"/>
    </xf>
    <xf numFmtId="164" fontId="18" fillId="0" borderId="1" xfId="1" applyNumberFormat="1" applyBorder="1" applyProtection="1">
      <protection locked="0" hidden="1"/>
    </xf>
    <xf numFmtId="2" fontId="18" fillId="0" borderId="1" xfId="1" applyNumberFormat="1" applyBorder="1" applyProtection="1">
      <protection locked="0" hidden="1"/>
    </xf>
    <xf numFmtId="166" fontId="18" fillId="0" borderId="1" xfId="1" applyNumberFormat="1" applyBorder="1" applyAlignment="1" applyProtection="1">
      <alignment vertical="center"/>
      <protection hidden="1"/>
    </xf>
    <xf numFmtId="0" fontId="16" fillId="0" borderId="0" xfId="1" applyFont="1" applyProtection="1">
      <protection hidden="1"/>
    </xf>
    <xf numFmtId="0" fontId="37" fillId="0" borderId="0" xfId="1" applyFont="1" applyProtection="1">
      <protection hidden="1"/>
    </xf>
    <xf numFmtId="0" fontId="38" fillId="0" borderId="0" xfId="1" applyFont="1" applyAlignment="1" applyProtection="1">
      <alignment horizontal="center" vertical="center"/>
      <protection hidden="1"/>
    </xf>
    <xf numFmtId="0" fontId="35" fillId="0" borderId="0" xfId="1" applyFont="1" applyProtection="1">
      <protection hidden="1"/>
    </xf>
    <xf numFmtId="0" fontId="40" fillId="5" borderId="1" xfId="0" applyFont="1" applyFill="1" applyBorder="1"/>
    <xf numFmtId="1" fontId="0" fillId="0" borderId="0" xfId="0" applyNumberFormat="1"/>
    <xf numFmtId="0" fontId="18" fillId="0" borderId="1" xfId="1" applyBorder="1" applyAlignment="1" applyProtection="1">
      <alignment horizontal="right" vertical="center"/>
      <protection locked="0" hidden="1"/>
    </xf>
    <xf numFmtId="0" fontId="40" fillId="5" borderId="4" xfId="0" applyFont="1" applyFill="1" applyBorder="1"/>
    <xf numFmtId="0" fontId="0" fillId="0" borderId="10" xfId="0" applyBorder="1"/>
    <xf numFmtId="1" fontId="0" fillId="0" borderId="9" xfId="0" applyNumberFormat="1" applyBorder="1"/>
    <xf numFmtId="0" fontId="0" fillId="0" borderId="3" xfId="0" applyBorder="1"/>
    <xf numFmtId="1" fontId="0" fillId="0" borderId="8" xfId="0" applyNumberFormat="1" applyBorder="1"/>
    <xf numFmtId="1" fontId="0" fillId="0" borderId="6" xfId="0" applyNumberFormat="1" applyBorder="1"/>
    <xf numFmtId="0" fontId="40" fillId="5" borderId="2" xfId="0" applyFont="1" applyFill="1" applyBorder="1"/>
    <xf numFmtId="1" fontId="0" fillId="0" borderId="10" xfId="0" applyNumberFormat="1" applyBorder="1"/>
    <xf numFmtId="1" fontId="0" fillId="0" borderId="3" xfId="0" applyNumberFormat="1" applyBorder="1"/>
    <xf numFmtId="0" fontId="0" fillId="0" borderId="18" xfId="0" applyBorder="1"/>
    <xf numFmtId="164" fontId="0" fillId="0" borderId="18" xfId="0" applyNumberFormat="1" applyBorder="1" applyAlignment="1" applyProtection="1">
      <alignment horizontal="center"/>
      <protection hidden="1"/>
    </xf>
    <xf numFmtId="0" fontId="40" fillId="0" borderId="18" xfId="0" applyFont="1" applyBorder="1"/>
    <xf numFmtId="0" fontId="0" fillId="6" borderId="10" xfId="0" applyFill="1" applyBorder="1"/>
    <xf numFmtId="0" fontId="40" fillId="6" borderId="18" xfId="0" applyFont="1" applyFill="1" applyBorder="1"/>
    <xf numFmtId="1" fontId="0" fillId="6" borderId="0" xfId="0" applyNumberFormat="1" applyFill="1"/>
    <xf numFmtId="0" fontId="18" fillId="7" borderId="0" xfId="1" applyFill="1" applyAlignment="1">
      <alignment horizontal="left" vertical="center"/>
    </xf>
    <xf numFmtId="0" fontId="33" fillId="2" borderId="0" xfId="1" applyFont="1" applyFill="1"/>
    <xf numFmtId="164" fontId="0" fillId="0" borderId="1" xfId="0" applyNumberFormat="1" applyBorder="1" applyProtection="1">
      <protection hidden="1"/>
    </xf>
    <xf numFmtId="0" fontId="16" fillId="0" borderId="0" xfId="0" applyFont="1" applyProtection="1">
      <protection hidden="1"/>
    </xf>
    <xf numFmtId="164" fontId="0" fillId="0" borderId="0" xfId="0" applyNumberFormat="1" applyProtection="1">
      <protection hidden="1"/>
    </xf>
    <xf numFmtId="0" fontId="0" fillId="0" borderId="1" xfId="0" quotePrefix="1" applyBorder="1" applyProtection="1">
      <protection hidden="1"/>
    </xf>
    <xf numFmtId="0" fontId="0" fillId="0" borderId="1" xfId="0" applyBorder="1" applyAlignment="1" applyProtection="1">
      <alignment horizontal="left"/>
      <protection hidden="1"/>
    </xf>
    <xf numFmtId="0" fontId="18" fillId="0" borderId="0" xfId="0" applyFont="1" applyProtection="1">
      <protection hidden="1"/>
    </xf>
    <xf numFmtId="0" fontId="17" fillId="0" borderId="0" xfId="0" applyFont="1" applyAlignment="1">
      <alignment vertical="center"/>
    </xf>
    <xf numFmtId="0" fontId="18" fillId="8" borderId="0" xfId="1" applyFill="1" applyAlignment="1">
      <alignment horizontal="center"/>
    </xf>
    <xf numFmtId="2" fontId="18" fillId="8" borderId="1" xfId="1" applyNumberFormat="1" applyFill="1" applyBorder="1" applyAlignment="1">
      <alignment horizontal="center" vertical="center"/>
    </xf>
    <xf numFmtId="2" fontId="18" fillId="7" borderId="1" xfId="1" applyNumberFormat="1" applyFill="1" applyBorder="1" applyAlignment="1" applyProtection="1">
      <alignment horizontal="center" vertical="center"/>
      <protection locked="0"/>
    </xf>
    <xf numFmtId="0" fontId="18" fillId="8" borderId="0" xfId="1" applyFill="1" applyAlignment="1">
      <alignment horizontal="right" indent="1"/>
    </xf>
    <xf numFmtId="1" fontId="18" fillId="8" borderId="0" xfId="1" applyNumberFormat="1" applyFill="1" applyAlignment="1">
      <alignment horizontal="right" indent="1"/>
    </xf>
    <xf numFmtId="164" fontId="18" fillId="8" borderId="0" xfId="1" applyNumberFormat="1" applyFill="1" applyAlignment="1">
      <alignment horizontal="right" indent="1"/>
    </xf>
    <xf numFmtId="2" fontId="18" fillId="8" borderId="0" xfId="1" applyNumberFormat="1" applyFill="1" applyAlignment="1">
      <alignment horizontal="right" vertical="center" indent="1"/>
    </xf>
    <xf numFmtId="0" fontId="23" fillId="8" borderId="11" xfId="1" applyFont="1" applyFill="1" applyBorder="1"/>
    <xf numFmtId="0" fontId="19" fillId="8" borderId="16" xfId="1" applyFont="1" applyFill="1" applyBorder="1"/>
    <xf numFmtId="0" fontId="23" fillId="8" borderId="16" xfId="1" applyFont="1" applyFill="1" applyBorder="1"/>
    <xf numFmtId="164" fontId="23" fillId="8" borderId="16" xfId="1" applyNumberFormat="1" applyFont="1" applyFill="1" applyBorder="1" applyAlignment="1">
      <alignment horizontal="right" indent="1"/>
    </xf>
    <xf numFmtId="0" fontId="23" fillId="8" borderId="15" xfId="1" applyFont="1" applyFill="1" applyBorder="1"/>
    <xf numFmtId="0" fontId="18" fillId="8" borderId="14" xfId="1" applyFill="1" applyBorder="1" applyAlignment="1">
      <alignment vertical="center"/>
    </xf>
    <xf numFmtId="0" fontId="18" fillId="8" borderId="13" xfId="1" applyFill="1" applyBorder="1" applyAlignment="1">
      <alignment vertical="center"/>
    </xf>
    <xf numFmtId="0" fontId="17" fillId="8" borderId="13" xfId="1" applyFont="1" applyFill="1" applyBorder="1" applyAlignment="1">
      <alignment vertical="center"/>
    </xf>
    <xf numFmtId="1" fontId="18" fillId="8" borderId="13" xfId="1" applyNumberFormat="1" applyFill="1" applyBorder="1" applyAlignment="1">
      <alignment horizontal="right" vertical="center" indent="1"/>
    </xf>
    <xf numFmtId="0" fontId="18" fillId="8" borderId="12" xfId="1" applyFill="1" applyBorder="1" applyAlignment="1">
      <alignment vertical="center"/>
    </xf>
    <xf numFmtId="0" fontId="18" fillId="7" borderId="0" xfId="1" applyFill="1" applyAlignment="1" applyProtection="1">
      <alignment horizontal="right" vertical="center" indent="1"/>
      <protection locked="0"/>
    </xf>
    <xf numFmtId="2" fontId="18" fillId="7" borderId="0" xfId="0" applyNumberFormat="1" applyFont="1" applyFill="1" applyAlignment="1" applyProtection="1">
      <alignment horizontal="right" vertical="center" indent="1"/>
      <protection locked="0"/>
    </xf>
    <xf numFmtId="1" fontId="18" fillId="7" borderId="0" xfId="0" applyNumberFormat="1" applyFont="1" applyFill="1" applyAlignment="1" applyProtection="1">
      <alignment horizontal="right" vertical="center" indent="1"/>
      <protection locked="0"/>
    </xf>
    <xf numFmtId="0" fontId="18" fillId="8" borderId="0" xfId="1" applyFill="1" applyAlignment="1">
      <alignment horizontal="left" vertical="center"/>
    </xf>
    <xf numFmtId="3" fontId="18" fillId="8" borderId="2" xfId="1" applyNumberFormat="1" applyFill="1" applyBorder="1" applyAlignment="1">
      <alignment horizontal="center" vertical="center"/>
    </xf>
    <xf numFmtId="3" fontId="18" fillId="8" borderId="4" xfId="1" applyNumberFormat="1" applyFill="1" applyBorder="1" applyAlignment="1">
      <alignment horizontal="center" vertical="center"/>
    </xf>
    <xf numFmtId="0" fontId="47" fillId="0" borderId="1" xfId="0" applyFont="1" applyBorder="1" applyProtection="1">
      <protection hidden="1"/>
    </xf>
    <xf numFmtId="166" fontId="18" fillId="8" borderId="0" xfId="1" applyNumberFormat="1" applyFill="1" applyAlignment="1">
      <alignment horizontal="center" vertical="center"/>
    </xf>
    <xf numFmtId="2" fontId="18" fillId="8" borderId="0" xfId="1" applyNumberFormat="1" applyFill="1" applyAlignment="1">
      <alignment horizontal="center"/>
    </xf>
    <xf numFmtId="0" fontId="17" fillId="8" borderId="23" xfId="1" applyFont="1" applyFill="1" applyBorder="1" applyAlignment="1">
      <alignment horizontal="center" vertical="center"/>
    </xf>
    <xf numFmtId="0" fontId="18" fillId="8" borderId="10" xfId="1" applyFill="1" applyBorder="1" applyAlignment="1">
      <alignment vertical="center"/>
    </xf>
    <xf numFmtId="0" fontId="18" fillId="8" borderId="0" xfId="1" applyFill="1" applyAlignment="1">
      <alignment vertical="center"/>
    </xf>
    <xf numFmtId="0" fontId="18" fillId="8" borderId="0" xfId="1" applyFill="1" applyAlignment="1">
      <alignment horizontal="center" vertical="center"/>
    </xf>
    <xf numFmtId="0" fontId="0" fillId="0" borderId="7" xfId="0" applyBorder="1"/>
    <xf numFmtId="2" fontId="19" fillId="0" borderId="1" xfId="1" applyNumberFormat="1" applyFont="1" applyBorder="1" applyAlignment="1" applyProtection="1">
      <alignment horizontal="center"/>
      <protection hidden="1"/>
    </xf>
    <xf numFmtId="0" fontId="18" fillId="0" borderId="1" xfId="1" applyBorder="1" applyProtection="1">
      <protection hidden="1"/>
    </xf>
    <xf numFmtId="0" fontId="0" fillId="0" borderId="0" xfId="0" applyProtection="1">
      <protection hidden="1"/>
    </xf>
    <xf numFmtId="0" fontId="0" fillId="4" borderId="1" xfId="0" applyFill="1" applyBorder="1"/>
    <xf numFmtId="0" fontId="0" fillId="4" borderId="25" xfId="0" applyFill="1" applyBorder="1"/>
    <xf numFmtId="0" fontId="18" fillId="0" borderId="25" xfId="1" applyBorder="1" applyProtection="1">
      <protection hidden="1"/>
    </xf>
    <xf numFmtId="2" fontId="19" fillId="0" borderId="25" xfId="1" applyNumberFormat="1" applyFont="1" applyBorder="1" applyAlignment="1" applyProtection="1">
      <alignment horizontal="center"/>
      <protection hidden="1"/>
    </xf>
    <xf numFmtId="0" fontId="0" fillId="4" borderId="18" xfId="0" applyFill="1" applyBorder="1"/>
    <xf numFmtId="2" fontId="19" fillId="0" borderId="18" xfId="1" applyNumberFormat="1" applyFont="1" applyBorder="1" applyAlignment="1" applyProtection="1">
      <alignment horizontal="center"/>
      <protection hidden="1"/>
    </xf>
    <xf numFmtId="2" fontId="19" fillId="0" borderId="10" xfId="1" applyNumberFormat="1" applyFont="1" applyBorder="1" applyAlignment="1" applyProtection="1">
      <alignment horizontal="center"/>
      <protection hidden="1"/>
    </xf>
    <xf numFmtId="2" fontId="19" fillId="0" borderId="0" xfId="1" applyNumberFormat="1" applyFont="1" applyAlignment="1" applyProtection="1">
      <alignment horizontal="center"/>
      <protection hidden="1"/>
    </xf>
    <xf numFmtId="0" fontId="17" fillId="0" borderId="18" xfId="0" applyFont="1" applyBorder="1" applyAlignment="1" applyProtection="1">
      <alignment horizontal="center"/>
      <protection hidden="1"/>
    </xf>
    <xf numFmtId="0" fontId="40" fillId="0" borderId="18" xfId="0" applyFont="1" applyBorder="1" applyAlignment="1" applyProtection="1">
      <alignment horizontal="center"/>
      <protection hidden="1"/>
    </xf>
    <xf numFmtId="0" fontId="40" fillId="0" borderId="0" xfId="0" applyFont="1" applyAlignment="1">
      <alignment horizontal="center"/>
    </xf>
    <xf numFmtId="0" fontId="40" fillId="0" borderId="10" xfId="0" applyFont="1" applyBorder="1" applyAlignment="1" applyProtection="1">
      <alignment horizontal="center"/>
      <protection hidden="1"/>
    </xf>
    <xf numFmtId="0" fontId="40" fillId="10" borderId="0" xfId="0" applyFont="1" applyFill="1" applyAlignment="1">
      <alignment horizontal="center"/>
    </xf>
    <xf numFmtId="0" fontId="37" fillId="0" borderId="1" xfId="1" applyFont="1" applyBorder="1" applyProtection="1">
      <protection locked="0" hidden="1"/>
    </xf>
    <xf numFmtId="164" fontId="18" fillId="8" borderId="0" xfId="1" applyNumberFormat="1" applyFill="1" applyAlignment="1">
      <alignment horizontal="right" vertical="center" indent="1"/>
    </xf>
    <xf numFmtId="1" fontId="18" fillId="8" borderId="0" xfId="1" applyNumberFormat="1" applyFill="1" applyAlignment="1">
      <alignment horizontal="right" vertical="center" indent="1"/>
    </xf>
    <xf numFmtId="164" fontId="48" fillId="8" borderId="0" xfId="1" applyNumberFormat="1" applyFont="1" applyFill="1" applyAlignment="1">
      <alignment horizontal="center" vertical="top"/>
    </xf>
    <xf numFmtId="2" fontId="48" fillId="8" borderId="0" xfId="1" applyNumberFormat="1" applyFont="1" applyFill="1" applyAlignment="1">
      <alignment horizontal="center" vertical="center"/>
    </xf>
    <xf numFmtId="1" fontId="48" fillId="8" borderId="0" xfId="1" applyNumberFormat="1" applyFont="1" applyFill="1" applyAlignment="1">
      <alignment horizontal="center"/>
    </xf>
    <xf numFmtId="0" fontId="18" fillId="11" borderId="0" xfId="1" applyFill="1" applyAlignment="1">
      <alignment vertical="center"/>
    </xf>
    <xf numFmtId="0" fontId="4" fillId="0" borderId="0" xfId="1" applyFont="1" applyAlignment="1">
      <alignment horizontal="right"/>
    </xf>
    <xf numFmtId="0" fontId="40" fillId="9" borderId="0" xfId="0" applyFont="1" applyFill="1"/>
    <xf numFmtId="0" fontId="0" fillId="4" borderId="0" xfId="0" applyFill="1"/>
    <xf numFmtId="0" fontId="18" fillId="11" borderId="0" xfId="1" applyFill="1" applyAlignment="1" applyProtection="1">
      <alignment vertical="center"/>
      <protection locked="0"/>
    </xf>
    <xf numFmtId="0" fontId="35" fillId="9" borderId="0" xfId="1" applyFont="1" applyFill="1" applyAlignment="1">
      <alignment horizontal="center"/>
    </xf>
    <xf numFmtId="0" fontId="35" fillId="9" borderId="0" xfId="1" applyFont="1" applyFill="1"/>
    <xf numFmtId="0" fontId="18" fillId="9" borderId="0" xfId="1" applyFill="1"/>
    <xf numFmtId="0" fontId="45" fillId="9" borderId="0" xfId="1" applyFont="1" applyFill="1" applyAlignment="1">
      <alignment horizontal="right"/>
    </xf>
    <xf numFmtId="0" fontId="35" fillId="9" borderId="17" xfId="1" applyFont="1" applyFill="1" applyBorder="1" applyAlignment="1">
      <alignment horizontal="center"/>
    </xf>
    <xf numFmtId="0" fontId="35" fillId="9" borderId="7" xfId="1" applyFont="1" applyFill="1" applyBorder="1"/>
    <xf numFmtId="0" fontId="18" fillId="9" borderId="7" xfId="1" applyFill="1" applyBorder="1"/>
    <xf numFmtId="0" fontId="18" fillId="9" borderId="5" xfId="1" applyFill="1" applyBorder="1"/>
    <xf numFmtId="0" fontId="18" fillId="9" borderId="9" xfId="1" applyFill="1" applyBorder="1"/>
    <xf numFmtId="0" fontId="18" fillId="9" borderId="0" xfId="1" applyFill="1" applyAlignment="1">
      <alignment horizontal="left" vertical="center"/>
    </xf>
    <xf numFmtId="0" fontId="55" fillId="9" borderId="0" xfId="1" applyFont="1" applyFill="1" applyAlignment="1">
      <alignment horizontal="left" vertical="center"/>
    </xf>
    <xf numFmtId="0" fontId="19" fillId="9" borderId="0" xfId="1" applyFont="1" applyFill="1"/>
    <xf numFmtId="0" fontId="19" fillId="9" borderId="0" xfId="1" applyFont="1" applyFill="1" applyAlignment="1">
      <alignment horizontal="center"/>
    </xf>
    <xf numFmtId="0" fontId="19" fillId="9" borderId="3" xfId="1" applyFont="1" applyFill="1" applyBorder="1"/>
    <xf numFmtId="0" fontId="19" fillId="9" borderId="8" xfId="1" applyFont="1" applyFill="1" applyBorder="1"/>
    <xf numFmtId="0" fontId="19" fillId="9" borderId="8" xfId="1" applyFont="1" applyFill="1" applyBorder="1" applyAlignment="1">
      <alignment horizontal="center"/>
    </xf>
    <xf numFmtId="0" fontId="19" fillId="9" borderId="6" xfId="1" applyFont="1" applyFill="1" applyBorder="1"/>
    <xf numFmtId="0" fontId="18" fillId="9" borderId="10" xfId="1" applyFill="1" applyBorder="1" applyAlignment="1">
      <alignment horizontal="left" vertical="center"/>
    </xf>
    <xf numFmtId="0" fontId="4" fillId="9" borderId="10" xfId="1" applyFont="1" applyFill="1" applyBorder="1" applyAlignment="1">
      <alignment horizontal="left" vertical="center"/>
    </xf>
    <xf numFmtId="0" fontId="19" fillId="9" borderId="17" xfId="1" applyFont="1" applyFill="1" applyBorder="1"/>
    <xf numFmtId="0" fontId="19" fillId="9" borderId="7" xfId="1" applyFont="1" applyFill="1" applyBorder="1"/>
    <xf numFmtId="0" fontId="19" fillId="9" borderId="7" xfId="1" applyFont="1" applyFill="1" applyBorder="1" applyAlignment="1">
      <alignment horizontal="center"/>
    </xf>
    <xf numFmtId="0" fontId="19" fillId="9" borderId="5" xfId="1" applyFont="1" applyFill="1" applyBorder="1"/>
    <xf numFmtId="0" fontId="62" fillId="9" borderId="10" xfId="1" applyFont="1" applyFill="1" applyBorder="1"/>
    <xf numFmtId="0" fontId="18" fillId="9" borderId="0" xfId="1" applyFill="1" applyAlignment="1">
      <alignment horizontal="center" vertical="center"/>
    </xf>
    <xf numFmtId="0" fontId="4" fillId="9" borderId="0" xfId="1" applyFont="1" applyFill="1" applyAlignment="1">
      <alignment horizontal="center" vertical="center"/>
    </xf>
    <xf numFmtId="0" fontId="19" fillId="9" borderId="10" xfId="1" applyFont="1" applyFill="1" applyBorder="1"/>
    <xf numFmtId="0" fontId="33" fillId="9" borderId="0" xfId="1" applyFont="1" applyFill="1"/>
    <xf numFmtId="0" fontId="17" fillId="9" borderId="3" xfId="1" applyFont="1" applyFill="1" applyBorder="1" applyAlignment="1">
      <alignment vertical="center"/>
    </xf>
    <xf numFmtId="0" fontId="23" fillId="9" borderId="8" xfId="1" applyFont="1" applyFill="1" applyBorder="1" applyAlignment="1">
      <alignment vertical="center"/>
    </xf>
    <xf numFmtId="0" fontId="18" fillId="9" borderId="17" xfId="1" applyFill="1" applyBorder="1" applyAlignment="1">
      <alignment horizontal="left" vertical="center" indent="1"/>
    </xf>
    <xf numFmtId="0" fontId="18" fillId="9" borderId="7" xfId="1" applyFill="1" applyBorder="1" applyAlignment="1">
      <alignment vertical="center"/>
    </xf>
    <xf numFmtId="3" fontId="18" fillId="9" borderId="7" xfId="1" applyNumberFormat="1" applyFill="1" applyBorder="1" applyAlignment="1">
      <alignment horizontal="center" vertical="center"/>
    </xf>
    <xf numFmtId="2" fontId="18" fillId="9" borderId="7" xfId="1" applyNumberFormat="1" applyFill="1" applyBorder="1" applyAlignment="1">
      <alignment horizontal="center" vertical="center"/>
    </xf>
    <xf numFmtId="3" fontId="18" fillId="9" borderId="5" xfId="1" applyNumberFormat="1" applyFill="1" applyBorder="1" applyAlignment="1">
      <alignment horizontal="center" vertical="center"/>
    </xf>
    <xf numFmtId="0" fontId="23" fillId="9" borderId="6" xfId="1" applyFont="1" applyFill="1" applyBorder="1" applyAlignment="1">
      <alignment vertical="center"/>
    </xf>
    <xf numFmtId="0" fontId="19" fillId="9" borderId="0" xfId="1" applyFont="1" applyFill="1" applyAlignment="1">
      <alignment vertical="center"/>
    </xf>
    <xf numFmtId="2" fontId="30" fillId="9" borderId="18" xfId="2" applyNumberFormat="1" applyFont="1" applyFill="1" applyBorder="1" applyAlignment="1">
      <alignment horizontal="center" vertical="center"/>
    </xf>
    <xf numFmtId="0" fontId="19" fillId="9" borderId="9" xfId="1" applyFont="1" applyFill="1" applyBorder="1"/>
    <xf numFmtId="0" fontId="23" fillId="9" borderId="10" xfId="1" applyFont="1" applyFill="1" applyBorder="1"/>
    <xf numFmtId="0" fontId="18" fillId="9" borderId="0" xfId="1" applyFill="1" applyAlignment="1">
      <alignment vertical="center"/>
    </xf>
    <xf numFmtId="0" fontId="31" fillId="9" borderId="0" xfId="1" applyFont="1" applyFill="1" applyAlignment="1">
      <alignment horizontal="center" vertical="center"/>
    </xf>
    <xf numFmtId="0" fontId="60" fillId="9" borderId="0" xfId="1" applyFont="1" applyFill="1" applyAlignment="1">
      <alignment horizontal="right" vertical="center" indent="1"/>
    </xf>
    <xf numFmtId="0" fontId="4" fillId="9" borderId="0" xfId="1" applyFont="1" applyFill="1" applyAlignment="1">
      <alignment vertical="center"/>
    </xf>
    <xf numFmtId="0" fontId="63" fillId="9" borderId="0" xfId="1" applyFont="1" applyFill="1" applyAlignment="1">
      <alignment vertical="center"/>
    </xf>
    <xf numFmtId="0" fontId="4" fillId="9" borderId="0" xfId="1" applyFont="1" applyFill="1" applyAlignment="1">
      <alignment horizontal="right" vertical="center"/>
    </xf>
    <xf numFmtId="0" fontId="4" fillId="9" borderId="0" xfId="1" applyFont="1" applyFill="1"/>
    <xf numFmtId="0" fontId="4" fillId="9" borderId="0" xfId="1" applyFont="1" applyFill="1" applyAlignment="1">
      <alignment horizontal="center"/>
    </xf>
    <xf numFmtId="0" fontId="18" fillId="9" borderId="0" xfId="1" applyFill="1" applyAlignment="1">
      <alignment horizontal="right" vertical="center" indent="1"/>
    </xf>
    <xf numFmtId="0" fontId="50" fillId="9" borderId="0" xfId="1" applyFont="1" applyFill="1"/>
    <xf numFmtId="0" fontId="27" fillId="9" borderId="0" xfId="1" applyFont="1" applyFill="1"/>
    <xf numFmtId="0" fontId="4" fillId="9" borderId="10" xfId="1" applyFont="1" applyFill="1" applyBorder="1"/>
    <xf numFmtId="0" fontId="23" fillId="9" borderId="0" xfId="1" applyFont="1" applyFill="1"/>
    <xf numFmtId="0" fontId="18" fillId="9" borderId="10" xfId="1" applyFill="1" applyBorder="1"/>
    <xf numFmtId="0" fontId="17" fillId="9" borderId="0" xfId="1" applyFont="1" applyFill="1"/>
    <xf numFmtId="0" fontId="4" fillId="9" borderId="10" xfId="1" applyFont="1" applyFill="1" applyBorder="1" applyAlignment="1">
      <alignment vertical="center"/>
    </xf>
    <xf numFmtId="0" fontId="17" fillId="9" borderId="0" xfId="1" applyFont="1" applyFill="1" applyAlignment="1">
      <alignment vertical="center"/>
    </xf>
    <xf numFmtId="0" fontId="18" fillId="9" borderId="10" xfId="1" applyFill="1" applyBorder="1" applyAlignment="1">
      <alignment vertical="center"/>
    </xf>
    <xf numFmtId="2" fontId="18" fillId="9" borderId="0" xfId="1" applyNumberFormat="1" applyFill="1" applyAlignment="1">
      <alignment vertical="center"/>
    </xf>
    <xf numFmtId="2" fontId="18" fillId="9" borderId="0" xfId="1" applyNumberFormat="1" applyFill="1" applyAlignment="1" applyProtection="1">
      <alignment horizontal="right" vertical="center" indent="1"/>
      <protection locked="0"/>
    </xf>
    <xf numFmtId="0" fontId="18" fillId="9" borderId="3" xfId="1" applyFill="1" applyBorder="1"/>
    <xf numFmtId="0" fontId="18" fillId="9" borderId="9" xfId="1" applyFill="1" applyBorder="1" applyAlignment="1">
      <alignment vertical="center"/>
    </xf>
    <xf numFmtId="0" fontId="18" fillId="8" borderId="9" xfId="1" applyFill="1" applyBorder="1" applyAlignment="1">
      <alignment horizontal="center"/>
    </xf>
    <xf numFmtId="0" fontId="48" fillId="9" borderId="0" xfId="1" applyFont="1" applyFill="1"/>
    <xf numFmtId="0" fontId="48" fillId="9" borderId="0" xfId="1" applyFont="1" applyFill="1" applyAlignment="1">
      <alignment horizontal="right"/>
    </xf>
    <xf numFmtId="0" fontId="18" fillId="9" borderId="0" xfId="1" applyFill="1" applyAlignment="1">
      <alignment horizontal="right"/>
    </xf>
    <xf numFmtId="0" fontId="18" fillId="9" borderId="0" xfId="1" applyFill="1" applyAlignment="1">
      <alignment horizontal="left" indent="1"/>
    </xf>
    <xf numFmtId="0" fontId="48" fillId="9" borderId="0" xfId="1" applyFont="1" applyFill="1" applyAlignment="1">
      <alignment horizontal="center" vertical="center"/>
    </xf>
    <xf numFmtId="0" fontId="48" fillId="9" borderId="0" xfId="1" applyFont="1" applyFill="1" applyAlignment="1">
      <alignment vertical="center"/>
    </xf>
    <xf numFmtId="0" fontId="49" fillId="9" borderId="0" xfId="1" applyFont="1" applyFill="1"/>
    <xf numFmtId="0" fontId="19" fillId="9" borderId="10" xfId="1" applyFont="1" applyFill="1" applyBorder="1" applyAlignment="1">
      <alignment vertical="center"/>
    </xf>
    <xf numFmtId="0" fontId="18" fillId="9" borderId="0" xfId="1" applyFill="1" applyAlignment="1">
      <alignment horizontal="right" indent="1"/>
    </xf>
    <xf numFmtId="0" fontId="48" fillId="9" borderId="9" xfId="1" applyFont="1" applyFill="1" applyBorder="1"/>
    <xf numFmtId="0" fontId="18" fillId="9" borderId="0" xfId="1" applyFill="1" applyAlignment="1">
      <alignment horizontal="center"/>
    </xf>
    <xf numFmtId="0" fontId="17" fillId="9" borderId="0" xfId="1" applyFont="1" applyFill="1" applyAlignment="1">
      <alignment horizontal="center"/>
    </xf>
    <xf numFmtId="0" fontId="18" fillId="9" borderId="8" xfId="1" applyFill="1" applyBorder="1" applyAlignment="1">
      <alignment vertical="center"/>
    </xf>
    <xf numFmtId="0" fontId="17" fillId="9" borderId="8" xfId="1" applyFont="1" applyFill="1" applyBorder="1"/>
    <xf numFmtId="0" fontId="18" fillId="9" borderId="8" xfId="1" applyFill="1" applyBorder="1"/>
    <xf numFmtId="0" fontId="18" fillId="9" borderId="7" xfId="1" applyFill="1" applyBorder="1" applyAlignment="1">
      <alignment horizontal="left" vertical="center"/>
    </xf>
    <xf numFmtId="0" fontId="51" fillId="9" borderId="0" xfId="1" applyFont="1" applyFill="1" applyAlignment="1">
      <alignment horizontal="left" vertical="center"/>
    </xf>
    <xf numFmtId="0" fontId="30" fillId="9" borderId="0" xfId="1" applyFont="1" applyFill="1"/>
    <xf numFmtId="0" fontId="25" fillId="9" borderId="0" xfId="1" applyFont="1" applyFill="1"/>
    <xf numFmtId="3" fontId="18" fillId="9" borderId="0" xfId="1" applyNumberFormat="1" applyFill="1" applyAlignment="1">
      <alignment vertical="center"/>
    </xf>
    <xf numFmtId="0" fontId="18" fillId="9" borderId="11" xfId="1" applyFill="1" applyBorder="1" applyAlignment="1">
      <alignment horizontal="left" vertical="center"/>
    </xf>
    <xf numFmtId="0" fontId="17" fillId="9" borderId="10" xfId="1" applyFont="1" applyFill="1" applyBorder="1" applyAlignment="1">
      <alignment vertical="center"/>
    </xf>
    <xf numFmtId="0" fontId="22" fillId="9" borderId="10" xfId="1" applyFont="1" applyFill="1" applyBorder="1" applyAlignment="1">
      <alignment horizontal="left" vertical="center"/>
    </xf>
    <xf numFmtId="0" fontId="22" fillId="9" borderId="10" xfId="1" applyFont="1" applyFill="1" applyBorder="1" applyAlignment="1">
      <alignment horizontal="left" vertical="top"/>
    </xf>
    <xf numFmtId="0" fontId="18" fillId="9" borderId="10" xfId="1" applyFill="1" applyBorder="1" applyAlignment="1">
      <alignment horizontal="left"/>
    </xf>
    <xf numFmtId="0" fontId="18" fillId="9" borderId="0" xfId="1" applyFill="1" applyAlignment="1">
      <alignment horizontal="left"/>
    </xf>
    <xf numFmtId="0" fontId="18" fillId="9" borderId="0" xfId="1" applyFill="1" applyAlignment="1">
      <alignment horizontal="right" indent="2"/>
    </xf>
    <xf numFmtId="0" fontId="18" fillId="9" borderId="3" xfId="1" applyFill="1" applyBorder="1" applyAlignment="1">
      <alignment horizontal="left" vertical="center"/>
    </xf>
    <xf numFmtId="0" fontId="18" fillId="9" borderId="8" xfId="1" applyFill="1" applyBorder="1" applyAlignment="1">
      <alignment horizontal="left" vertical="center"/>
    </xf>
    <xf numFmtId="0" fontId="19" fillId="9" borderId="9" xfId="1" applyFont="1" applyFill="1" applyBorder="1" applyAlignment="1">
      <alignment vertical="center"/>
    </xf>
    <xf numFmtId="0" fontId="18" fillId="9" borderId="0" xfId="1" applyFill="1" applyAlignment="1">
      <alignment horizontal="left" vertical="top"/>
    </xf>
    <xf numFmtId="0" fontId="37" fillId="9" borderId="0" xfId="1" applyFont="1" applyFill="1"/>
    <xf numFmtId="0" fontId="37" fillId="9" borderId="0" xfId="1" applyFont="1" applyFill="1" applyAlignment="1">
      <alignment horizontal="right"/>
    </xf>
    <xf numFmtId="2" fontId="18" fillId="9" borderId="0" xfId="0" applyNumberFormat="1" applyFont="1" applyFill="1" applyAlignment="1">
      <alignment horizontal="left" vertical="center"/>
    </xf>
    <xf numFmtId="0" fontId="18" fillId="9" borderId="10" xfId="0" applyFont="1" applyFill="1" applyBorder="1" applyAlignment="1">
      <alignment vertical="center"/>
    </xf>
    <xf numFmtId="0" fontId="18" fillId="9" borderId="0" xfId="0" applyFont="1" applyFill="1" applyAlignment="1">
      <alignment vertical="center"/>
    </xf>
    <xf numFmtId="0" fontId="17" fillId="9" borderId="0" xfId="0" applyFont="1" applyFill="1"/>
    <xf numFmtId="0" fontId="18" fillId="9" borderId="0" xfId="0" applyFont="1" applyFill="1"/>
    <xf numFmtId="0" fontId="18" fillId="9" borderId="10" xfId="0" applyFont="1" applyFill="1" applyBorder="1" applyAlignment="1">
      <alignment horizontal="left"/>
    </xf>
    <xf numFmtId="0" fontId="18" fillId="9" borderId="0" xfId="0" applyFont="1" applyFill="1" applyAlignment="1">
      <alignment horizontal="left" vertical="center"/>
    </xf>
    <xf numFmtId="0" fontId="17" fillId="9" borderId="0" xfId="0" applyFont="1" applyFill="1" applyAlignment="1">
      <alignment vertical="center"/>
    </xf>
    <xf numFmtId="0" fontId="18" fillId="9" borderId="10" xfId="0" applyFont="1" applyFill="1" applyBorder="1" applyAlignment="1">
      <alignment horizontal="left" vertical="center"/>
    </xf>
    <xf numFmtId="167" fontId="18" fillId="9" borderId="0" xfId="0" applyNumberFormat="1" applyFont="1" applyFill="1"/>
    <xf numFmtId="0" fontId="18" fillId="9" borderId="0" xfId="0" applyFont="1" applyFill="1" applyAlignment="1">
      <alignment horizontal="left"/>
    </xf>
    <xf numFmtId="168" fontId="18" fillId="9" borderId="0" xfId="0" applyNumberFormat="1" applyFont="1" applyFill="1"/>
    <xf numFmtId="0" fontId="67" fillId="0" borderId="9" xfId="17" applyFont="1" applyBorder="1" applyAlignment="1" applyProtection="1">
      <alignment horizontal="center" vertical="center" wrapText="1"/>
      <protection locked="0"/>
    </xf>
    <xf numFmtId="0" fontId="67" fillId="0" borderId="9" xfId="17" applyFont="1" applyBorder="1" applyAlignment="1" applyProtection="1">
      <alignment horizontal="center" vertical="center"/>
      <protection locked="0"/>
    </xf>
    <xf numFmtId="0" fontId="67" fillId="9" borderId="0" xfId="17" applyFont="1" applyFill="1" applyAlignment="1" applyProtection="1">
      <alignment horizontal="center" vertical="center"/>
      <protection locked="0"/>
    </xf>
    <xf numFmtId="0" fontId="0" fillId="0" borderId="1" xfId="0" applyBorder="1"/>
    <xf numFmtId="0" fontId="0" fillId="9" borderId="0" xfId="0" applyFill="1"/>
    <xf numFmtId="0" fontId="69" fillId="0" borderId="10" xfId="0" applyFont="1" applyBorder="1" applyAlignment="1" applyProtection="1">
      <alignment horizontal="center"/>
      <protection hidden="1"/>
    </xf>
    <xf numFmtId="0" fontId="22" fillId="9" borderId="0" xfId="1" applyFont="1" applyFill="1" applyAlignment="1">
      <alignment horizontal="left"/>
    </xf>
    <xf numFmtId="0" fontId="22" fillId="9" borderId="10" xfId="1" applyFont="1" applyFill="1" applyBorder="1"/>
    <xf numFmtId="2" fontId="18" fillId="8" borderId="0" xfId="1" applyNumberFormat="1" applyFill="1" applyAlignment="1">
      <alignment horizontal="center" vertical="center"/>
    </xf>
    <xf numFmtId="2" fontId="18" fillId="9" borderId="0" xfId="1" applyNumberFormat="1" applyFill="1" applyAlignment="1">
      <alignment vertical="center" wrapText="1"/>
    </xf>
    <xf numFmtId="0" fontId="18" fillId="12" borderId="0" xfId="1" applyFill="1" applyAlignment="1">
      <alignment horizontal="left" vertical="center"/>
    </xf>
    <xf numFmtId="0" fontId="18" fillId="12" borderId="0" xfId="1" applyFill="1" applyAlignment="1" applyProtection="1">
      <alignment vertical="center"/>
      <protection locked="0"/>
    </xf>
    <xf numFmtId="0" fontId="74" fillId="9" borderId="0" xfId="0" applyFont="1" applyFill="1"/>
    <xf numFmtId="0" fontId="70" fillId="9" borderId="0" xfId="0" applyFont="1" applyFill="1" applyAlignment="1">
      <alignment horizontal="left"/>
    </xf>
    <xf numFmtId="0" fontId="72" fillId="9" borderId="0" xfId="0" applyFont="1" applyFill="1" applyAlignment="1">
      <alignment horizontal="left" vertical="top" wrapText="1"/>
    </xf>
    <xf numFmtId="0" fontId="33" fillId="9" borderId="0" xfId="0" applyFont="1" applyFill="1" applyAlignment="1">
      <alignment vertical="top"/>
    </xf>
    <xf numFmtId="0" fontId="73" fillId="9" borderId="0" xfId="0" applyFont="1" applyFill="1" applyAlignment="1">
      <alignment vertical="top" wrapText="1" readingOrder="1"/>
    </xf>
    <xf numFmtId="0" fontId="71" fillId="9" borderId="0" xfId="0" applyFont="1" applyFill="1" applyAlignment="1">
      <alignment vertical="top"/>
    </xf>
    <xf numFmtId="0" fontId="33" fillId="9" borderId="0" xfId="0" applyFont="1" applyFill="1" applyAlignment="1">
      <alignment horizontal="center" vertical="top"/>
    </xf>
    <xf numFmtId="0" fontId="73" fillId="9" borderId="0" xfId="0" applyFont="1" applyFill="1" applyAlignment="1">
      <alignment horizontal="left" vertical="top" wrapText="1"/>
    </xf>
    <xf numFmtId="49" fontId="30" fillId="9" borderId="0" xfId="0" applyNumberFormat="1" applyFont="1" applyFill="1" applyAlignment="1">
      <alignment vertical="top"/>
    </xf>
    <xf numFmtId="0" fontId="72" fillId="9" borderId="0" xfId="0" applyFont="1" applyFill="1" applyAlignment="1">
      <alignment horizontal="justify" vertical="top"/>
    </xf>
    <xf numFmtId="49" fontId="33" fillId="9" borderId="0" xfId="0" applyNumberFormat="1" applyFont="1" applyFill="1" applyAlignment="1">
      <alignment vertical="top"/>
    </xf>
    <xf numFmtId="0" fontId="76" fillId="9" borderId="0" xfId="0" applyFont="1" applyFill="1" applyAlignment="1">
      <alignment horizontal="left" vertical="top" wrapText="1" readingOrder="1"/>
    </xf>
    <xf numFmtId="0" fontId="33" fillId="9" borderId="0" xfId="0" applyFont="1" applyFill="1" applyAlignment="1">
      <alignment vertical="top" wrapText="1"/>
    </xf>
    <xf numFmtId="0" fontId="77" fillId="9" borderId="0" xfId="0" applyFont="1" applyFill="1" applyAlignment="1">
      <alignment horizontal="justify" vertical="top"/>
    </xf>
    <xf numFmtId="0" fontId="76" fillId="9" borderId="0" xfId="0" applyFont="1" applyFill="1" applyAlignment="1">
      <alignment horizontal="left" vertical="top" wrapText="1"/>
    </xf>
    <xf numFmtId="0" fontId="33" fillId="9" borderId="0" xfId="0" quotePrefix="1" applyFont="1" applyFill="1" applyAlignment="1">
      <alignment horizontal="center" vertical="top"/>
    </xf>
    <xf numFmtId="0" fontId="33" fillId="9" borderId="0" xfId="0" applyFont="1" applyFill="1" applyAlignment="1">
      <alignment horizontal="left" vertical="top" wrapText="1"/>
    </xf>
    <xf numFmtId="0" fontId="30" fillId="9" borderId="0" xfId="0" applyFont="1" applyFill="1" applyAlignment="1">
      <alignment horizontal="justify" vertical="top"/>
    </xf>
    <xf numFmtId="0" fontId="33" fillId="9" borderId="0" xfId="0" quotePrefix="1" applyFont="1" applyFill="1" applyAlignment="1">
      <alignment vertical="top"/>
    </xf>
    <xf numFmtId="0" fontId="71" fillId="9" borderId="0" xfId="0" applyFont="1" applyFill="1" applyAlignment="1">
      <alignment wrapText="1"/>
    </xf>
    <xf numFmtId="0" fontId="80" fillId="9" borderId="0" xfId="17" applyFont="1" applyFill="1" applyAlignment="1" applyProtection="1">
      <alignment horizontal="left" vertical="top" wrapText="1"/>
    </xf>
    <xf numFmtId="0" fontId="19" fillId="9" borderId="0" xfId="0" applyFont="1" applyFill="1" applyAlignment="1">
      <alignment horizontal="center" vertical="top"/>
    </xf>
    <xf numFmtId="0" fontId="18" fillId="9" borderId="0" xfId="0" applyFont="1" applyFill="1" applyAlignment="1">
      <alignment horizontal="center" vertical="top"/>
    </xf>
    <xf numFmtId="0" fontId="63" fillId="9" borderId="0" xfId="0" applyFont="1" applyFill="1" applyAlignment="1">
      <alignment horizontal="left" vertical="top" wrapText="1"/>
    </xf>
    <xf numFmtId="0" fontId="62" fillId="9" borderId="0" xfId="0" applyFont="1" applyFill="1" applyAlignment="1">
      <alignment horizontal="justify" vertical="top"/>
    </xf>
    <xf numFmtId="0" fontId="0" fillId="9" borderId="0" xfId="0" applyFill="1" applyAlignment="1">
      <alignment wrapText="1"/>
    </xf>
    <xf numFmtId="0" fontId="46" fillId="9" borderId="0" xfId="0" quotePrefix="1" applyFont="1" applyFill="1"/>
    <xf numFmtId="0" fontId="46" fillId="9" borderId="0" xfId="0" applyFont="1" applyFill="1"/>
    <xf numFmtId="0" fontId="34" fillId="9" borderId="0" xfId="0" applyFont="1" applyFill="1" applyAlignment="1">
      <alignment horizontal="center" vertical="top"/>
    </xf>
    <xf numFmtId="0" fontId="18" fillId="0" borderId="2" xfId="1" applyBorder="1" applyAlignment="1">
      <alignment horizontal="left" vertical="center" indent="1"/>
    </xf>
    <xf numFmtId="0" fontId="18" fillId="0" borderId="19" xfId="1" applyBorder="1" applyAlignment="1">
      <alignment horizontal="left" vertical="center" indent="1"/>
    </xf>
    <xf numFmtId="0" fontId="18" fillId="7" borderId="2" xfId="1" applyFill="1" applyBorder="1" applyAlignment="1" applyProtection="1">
      <alignment horizontal="center" vertical="center"/>
      <protection locked="0"/>
    </xf>
    <xf numFmtId="0" fontId="18" fillId="7" borderId="4" xfId="1" applyFill="1" applyBorder="1" applyAlignment="1" applyProtection="1">
      <alignment horizontal="center" vertical="center"/>
      <protection locked="0"/>
    </xf>
    <xf numFmtId="3" fontId="18" fillId="7" borderId="2" xfId="1" applyNumberFormat="1" applyFill="1" applyBorder="1" applyAlignment="1" applyProtection="1">
      <alignment horizontal="center" vertical="center"/>
      <protection locked="0"/>
    </xf>
    <xf numFmtId="3" fontId="18" fillId="7" borderId="4" xfId="1" applyNumberFormat="1" applyFill="1" applyBorder="1" applyAlignment="1" applyProtection="1">
      <alignment horizontal="center" vertical="center"/>
      <protection locked="0"/>
    </xf>
    <xf numFmtId="3" fontId="18" fillId="8" borderId="2" xfId="1" applyNumberFormat="1" applyFill="1" applyBorder="1" applyAlignment="1">
      <alignment horizontal="center" vertical="center"/>
    </xf>
    <xf numFmtId="3" fontId="18" fillId="8" borderId="4" xfId="1" applyNumberFormat="1" applyFill="1" applyBorder="1" applyAlignment="1">
      <alignment horizontal="center" vertical="center"/>
    </xf>
    <xf numFmtId="0" fontId="18" fillId="9" borderId="0" xfId="1" applyFill="1" applyAlignment="1">
      <alignment horizontal="center" vertical="center"/>
    </xf>
    <xf numFmtId="0" fontId="18" fillId="9" borderId="9" xfId="1" applyFill="1" applyBorder="1" applyAlignment="1">
      <alignment horizontal="center" vertical="center"/>
    </xf>
    <xf numFmtId="0" fontId="18" fillId="7" borderId="2" xfId="1" applyFill="1" applyBorder="1" applyAlignment="1" applyProtection="1">
      <alignment horizontal="left" vertical="center"/>
      <protection locked="0"/>
    </xf>
    <xf numFmtId="0" fontId="18" fillId="7" borderId="19" xfId="1" applyFill="1" applyBorder="1" applyAlignment="1" applyProtection="1">
      <alignment horizontal="left" vertical="center"/>
      <protection locked="0"/>
    </xf>
    <xf numFmtId="0" fontId="18" fillId="7" borderId="4" xfId="1" applyFill="1" applyBorder="1" applyAlignment="1" applyProtection="1">
      <alignment horizontal="left" vertical="center"/>
      <protection locked="0"/>
    </xf>
    <xf numFmtId="0" fontId="18" fillId="7" borderId="0" xfId="1" applyFill="1" applyAlignment="1" applyProtection="1">
      <alignment horizontal="left" vertical="center"/>
      <protection locked="0"/>
    </xf>
    <xf numFmtId="0" fontId="18" fillId="9" borderId="2" xfId="1" applyFill="1" applyBorder="1" applyAlignment="1" applyProtection="1">
      <alignment horizontal="left" vertical="center"/>
      <protection locked="0"/>
    </xf>
    <xf numFmtId="0" fontId="18" fillId="9" borderId="19" xfId="1" applyFill="1" applyBorder="1" applyAlignment="1" applyProtection="1">
      <alignment horizontal="left" vertical="center"/>
      <protection locked="0"/>
    </xf>
    <xf numFmtId="0" fontId="18" fillId="9" borderId="4" xfId="1" applyFill="1" applyBorder="1" applyAlignment="1" applyProtection="1">
      <alignment horizontal="left" vertical="center"/>
      <protection locked="0"/>
    </xf>
    <xf numFmtId="3" fontId="18" fillId="8" borderId="0" xfId="1" applyNumberFormat="1" applyFill="1" applyAlignment="1">
      <alignment horizontal="center" vertical="center"/>
    </xf>
    <xf numFmtId="0" fontId="18" fillId="7" borderId="9" xfId="1" applyFill="1" applyBorder="1" applyAlignment="1" applyProtection="1">
      <alignment horizontal="left" vertical="center"/>
      <protection locked="0"/>
    </xf>
    <xf numFmtId="14" fontId="18" fillId="8" borderId="0" xfId="1" applyNumberFormat="1" applyFill="1" applyAlignment="1" applyProtection="1">
      <alignment horizontal="left" vertical="center"/>
      <protection locked="0"/>
    </xf>
    <xf numFmtId="0" fontId="18" fillId="8" borderId="0" xfId="1" applyFill="1" applyAlignment="1" applyProtection="1">
      <alignment horizontal="left" vertical="center"/>
      <protection locked="0"/>
    </xf>
    <xf numFmtId="0" fontId="18" fillId="8" borderId="9" xfId="1" applyFill="1" applyBorder="1" applyAlignment="1" applyProtection="1">
      <alignment horizontal="left" vertical="center"/>
      <protection locked="0"/>
    </xf>
    <xf numFmtId="0" fontId="18" fillId="9" borderId="0" xfId="1" applyFill="1" applyAlignment="1">
      <alignment horizontal="center" vertical="top"/>
    </xf>
    <xf numFmtId="0" fontId="18" fillId="9" borderId="8" xfId="1" applyFill="1" applyBorder="1" applyAlignment="1">
      <alignment horizontal="center" vertical="top"/>
    </xf>
    <xf numFmtId="0" fontId="18" fillId="9" borderId="9" xfId="1" applyFill="1" applyBorder="1" applyAlignment="1">
      <alignment horizontal="center" vertical="top"/>
    </xf>
    <xf numFmtId="0" fontId="18" fillId="9" borderId="6" xfId="1" applyFill="1" applyBorder="1" applyAlignment="1">
      <alignment horizontal="center" vertical="top"/>
    </xf>
    <xf numFmtId="0" fontId="18" fillId="0" borderId="4" xfId="1" applyBorder="1" applyAlignment="1">
      <alignment horizontal="left" vertical="center" indent="1"/>
    </xf>
    <xf numFmtId="3" fontId="18" fillId="8" borderId="17" xfId="1" applyNumberFormat="1" applyFill="1" applyBorder="1" applyAlignment="1">
      <alignment horizontal="center" vertical="center"/>
    </xf>
    <xf numFmtId="3" fontId="18" fillId="8" borderId="5" xfId="1" applyNumberFormat="1" applyFill="1" applyBorder="1" applyAlignment="1">
      <alignment horizontal="center" vertical="center"/>
    </xf>
    <xf numFmtId="0" fontId="18" fillId="3" borderId="0" xfId="1" applyFill="1" applyAlignment="1">
      <alignment horizontal="center" vertical="center"/>
    </xf>
    <xf numFmtId="0" fontId="23" fillId="9" borderId="10" xfId="1" applyFont="1" applyFill="1" applyBorder="1" applyAlignment="1">
      <alignment horizontal="left"/>
    </xf>
    <xf numFmtId="0" fontId="23" fillId="9" borderId="0" xfId="1" applyFont="1" applyFill="1" applyAlignment="1">
      <alignment horizontal="left"/>
    </xf>
    <xf numFmtId="0" fontId="18" fillId="9" borderId="10" xfId="1" applyFill="1" applyBorder="1" applyAlignment="1">
      <alignment horizontal="left" vertical="center"/>
    </xf>
    <xf numFmtId="0" fontId="18" fillId="9" borderId="0" xfId="1" applyFill="1" applyAlignment="1">
      <alignment horizontal="left" vertical="center"/>
    </xf>
    <xf numFmtId="0" fontId="45" fillId="9" borderId="0" xfId="0" applyFont="1" applyFill="1" applyAlignment="1">
      <alignment horizontal="left" wrapText="1"/>
    </xf>
    <xf numFmtId="0" fontId="2" fillId="9" borderId="10" xfId="1" applyFont="1" applyFill="1" applyBorder="1" applyAlignment="1">
      <alignment horizontal="left" vertical="center" wrapText="1"/>
    </xf>
    <xf numFmtId="0" fontId="4" fillId="9" borderId="0" xfId="1" applyFont="1" applyFill="1" applyAlignment="1">
      <alignment horizontal="left" vertical="center" wrapText="1"/>
    </xf>
    <xf numFmtId="0" fontId="18" fillId="7" borderId="0" xfId="1" applyFill="1" applyAlignment="1" applyProtection="1">
      <alignment horizontal="center"/>
      <protection locked="0"/>
    </xf>
    <xf numFmtId="2" fontId="18" fillId="7" borderId="0" xfId="1" applyNumberFormat="1" applyFill="1" applyAlignment="1" applyProtection="1">
      <alignment horizontal="center" vertical="center"/>
      <protection locked="0"/>
    </xf>
    <xf numFmtId="0" fontId="4" fillId="0" borderId="2" xfId="1" applyFont="1" applyBorder="1" applyAlignment="1">
      <alignment horizontal="left" vertical="center" indent="1"/>
    </xf>
    <xf numFmtId="0" fontId="4" fillId="0" borderId="19" xfId="1" applyFont="1" applyBorder="1" applyAlignment="1">
      <alignment horizontal="left" vertical="center" indent="1"/>
    </xf>
    <xf numFmtId="0" fontId="4" fillId="0" borderId="4" xfId="1" applyFont="1" applyBorder="1" applyAlignment="1">
      <alignment horizontal="left" vertical="center" indent="1"/>
    </xf>
    <xf numFmtId="0" fontId="18" fillId="0" borderId="7" xfId="1" applyBorder="1" applyAlignment="1">
      <alignment horizontal="left" vertical="center"/>
    </xf>
    <xf numFmtId="0" fontId="3" fillId="9" borderId="10" xfId="1" applyFont="1" applyFill="1" applyBorder="1" applyAlignment="1">
      <alignment horizontal="left" vertical="center"/>
    </xf>
    <xf numFmtId="0" fontId="4" fillId="9" borderId="0" xfId="1" applyFont="1" applyFill="1" applyAlignment="1">
      <alignment horizontal="left" vertical="center"/>
    </xf>
    <xf numFmtId="0" fontId="18" fillId="9" borderId="7" xfId="1" applyFill="1" applyBorder="1" applyAlignment="1" applyProtection="1">
      <alignment horizontal="left" vertical="center"/>
      <protection locked="0"/>
    </xf>
    <xf numFmtId="0" fontId="18" fillId="3" borderId="0" xfId="1" applyFill="1" applyAlignment="1" applyProtection="1">
      <alignment vertical="center"/>
      <protection locked="0"/>
    </xf>
    <xf numFmtId="0" fontId="3" fillId="0" borderId="2" xfId="1" applyFont="1" applyBorder="1" applyAlignment="1">
      <alignment horizontal="left" vertical="center" indent="1"/>
    </xf>
    <xf numFmtId="0" fontId="4" fillId="9" borderId="0" xfId="1" applyFont="1" applyFill="1" applyAlignment="1">
      <alignment horizontal="center" vertical="center"/>
    </xf>
    <xf numFmtId="0" fontId="48" fillId="9" borderId="0" xfId="1" applyFont="1" applyFill="1" applyAlignment="1">
      <alignment horizontal="right" vertical="center"/>
    </xf>
    <xf numFmtId="0" fontId="18" fillId="8" borderId="0" xfId="1" applyFill="1" applyAlignment="1">
      <alignment horizontal="center"/>
    </xf>
    <xf numFmtId="0" fontId="17" fillId="8" borderId="20" xfId="1" applyFont="1" applyFill="1" applyBorder="1" applyAlignment="1">
      <alignment horizontal="center" vertical="center"/>
    </xf>
    <xf numFmtId="0" fontId="17" fillId="8" borderId="21" xfId="1" applyFont="1" applyFill="1" applyBorder="1" applyAlignment="1">
      <alignment horizontal="center" vertical="center"/>
    </xf>
    <xf numFmtId="0" fontId="17" fillId="8" borderId="22" xfId="1" applyFont="1" applyFill="1" applyBorder="1" applyAlignment="1">
      <alignment horizontal="center" vertical="center"/>
    </xf>
    <xf numFmtId="0" fontId="17" fillId="9" borderId="0" xfId="1" applyFont="1" applyFill="1" applyAlignment="1">
      <alignment horizontal="right"/>
    </xf>
    <xf numFmtId="0" fontId="17" fillId="9" borderId="24" xfId="1" applyFont="1" applyFill="1" applyBorder="1" applyAlignment="1">
      <alignment horizontal="right"/>
    </xf>
    <xf numFmtId="0" fontId="17" fillId="8" borderId="20" xfId="1" applyFont="1" applyFill="1" applyBorder="1" applyAlignment="1">
      <alignment horizontal="center"/>
    </xf>
    <xf numFmtId="0" fontId="17" fillId="8" borderId="21" xfId="1" applyFont="1" applyFill="1" applyBorder="1" applyAlignment="1">
      <alignment horizontal="center"/>
    </xf>
    <xf numFmtId="0" fontId="17" fillId="8" borderId="22" xfId="1" applyFont="1" applyFill="1" applyBorder="1" applyAlignment="1">
      <alignment horizontal="center"/>
    </xf>
    <xf numFmtId="0" fontId="32" fillId="8" borderId="0" xfId="1" applyFont="1" applyFill="1" applyAlignment="1">
      <alignment horizontal="left" vertical="center" wrapText="1"/>
    </xf>
    <xf numFmtId="0" fontId="32" fillId="8" borderId="9" xfId="1" applyFont="1" applyFill="1" applyBorder="1" applyAlignment="1">
      <alignment horizontal="left" vertical="center" wrapText="1"/>
    </xf>
    <xf numFmtId="0" fontId="17" fillId="7" borderId="0" xfId="1" applyFont="1" applyFill="1" applyAlignment="1">
      <alignment horizontal="center"/>
    </xf>
    <xf numFmtId="0" fontId="17" fillId="7" borderId="9" xfId="1" applyFont="1" applyFill="1" applyBorder="1" applyAlignment="1">
      <alignment horizontal="center"/>
    </xf>
    <xf numFmtId="0" fontId="44" fillId="7" borderId="0" xfId="1" applyFont="1" applyFill="1" applyAlignment="1">
      <alignment horizontal="center"/>
    </xf>
    <xf numFmtId="0" fontId="18" fillId="7" borderId="0" xfId="1" applyFill="1" applyAlignment="1">
      <alignment horizontal="center"/>
    </xf>
    <xf numFmtId="0" fontId="18" fillId="9" borderId="0" xfId="1" applyFill="1" applyAlignment="1">
      <alignment horizontal="center"/>
    </xf>
    <xf numFmtId="2" fontId="18" fillId="12" borderId="0" xfId="1" applyNumberFormat="1" applyFill="1" applyAlignment="1" applyProtection="1">
      <alignment horizontal="center" vertical="center"/>
      <protection locked="0"/>
    </xf>
    <xf numFmtId="0" fontId="18" fillId="7" borderId="19" xfId="1" applyFill="1" applyBorder="1" applyAlignment="1" applyProtection="1">
      <alignment horizontal="center" vertical="center"/>
      <protection locked="0"/>
    </xf>
    <xf numFmtId="0" fontId="55" fillId="9" borderId="0" xfId="1" applyFont="1" applyFill="1" applyAlignment="1">
      <alignment horizontal="center" vertical="center"/>
    </xf>
    <xf numFmtId="0" fontId="40" fillId="5" borderId="2" xfId="0" applyFont="1" applyFill="1" applyBorder="1" applyAlignment="1">
      <alignment horizontal="center"/>
    </xf>
    <xf numFmtId="0" fontId="40" fillId="5" borderId="19" xfId="0" applyFont="1" applyFill="1" applyBorder="1" applyAlignment="1">
      <alignment horizontal="center"/>
    </xf>
    <xf numFmtId="0" fontId="40" fillId="5" borderId="4" xfId="0" applyFont="1" applyFill="1" applyBorder="1" applyAlignment="1">
      <alignment horizontal="center"/>
    </xf>
    <xf numFmtId="0" fontId="16" fillId="0" borderId="25" xfId="0" applyFont="1" applyBorder="1" applyAlignment="1" applyProtection="1">
      <alignment horizontal="left" vertical="center"/>
      <protection hidden="1"/>
    </xf>
    <xf numFmtId="0" fontId="16" fillId="0" borderId="26" xfId="0" applyFont="1" applyBorder="1" applyAlignment="1" applyProtection="1">
      <alignment horizontal="left" vertical="center"/>
      <protection hidden="1"/>
    </xf>
    <xf numFmtId="0" fontId="16" fillId="0" borderId="1" xfId="0" applyFont="1" applyBorder="1" applyAlignment="1" applyProtection="1">
      <alignment horizontal="center"/>
      <protection hidden="1"/>
    </xf>
  </cellXfs>
  <cellStyles count="18">
    <cellStyle name="Komma 2" xfId="4" xr:uid="{7A65F1FD-9238-40A3-8612-62F2BE668BDA}"/>
    <cellStyle name="Komma 3" xfId="7" xr:uid="{7618D148-AB39-4207-9C3F-50AA18661647}"/>
    <cellStyle name="Link" xfId="17" builtinId="8"/>
    <cellStyle name="Prozent 2" xfId="2" xr:uid="{AF4918CB-9BF0-4FAF-8E98-150A99889D4B}"/>
    <cellStyle name="Standard" xfId="0" builtinId="0"/>
    <cellStyle name="Standard 10" xfId="12" xr:uid="{B91A9185-0D18-4F56-BC5B-B83EB2280E85}"/>
    <cellStyle name="Standard 11" xfId="13" xr:uid="{E025EB7B-88EA-4610-A923-30B05CEDE610}"/>
    <cellStyle name="Standard 12" xfId="14" xr:uid="{E9B24873-3B52-4596-A2AE-B13589C1FAFE}"/>
    <cellStyle name="Standard 13" xfId="15" xr:uid="{8962AC4D-3E52-4088-8316-D20FD0E107E8}"/>
    <cellStyle name="Standard 14" xfId="16" xr:uid="{367C349D-7E78-4EDD-8F4A-F486A64696E5}"/>
    <cellStyle name="Standard 2" xfId="1" xr:uid="{3A120161-D25C-4C73-B7EE-8DFDFF9A5B9F}"/>
    <cellStyle name="Standard 3" xfId="3" xr:uid="{F406D2E3-8E7F-4027-A7FC-7607C2C53DB6}"/>
    <cellStyle name="Standard 4" xfId="5" xr:uid="{33C1EB16-4584-4C2B-991C-BDA201648691}"/>
    <cellStyle name="Standard 5" xfId="6" xr:uid="{AF4EF97B-533D-4F95-BB5D-786B337522D0}"/>
    <cellStyle name="Standard 6" xfId="8" xr:uid="{E14D017F-613C-4D02-ADFC-0AD23AE30260}"/>
    <cellStyle name="Standard 7" xfId="9" xr:uid="{D6F16F4E-6230-4A0E-93C9-E6E2054164E5}"/>
    <cellStyle name="Standard 8" xfId="10" xr:uid="{56CC20B6-3602-45BF-9260-BBD1ADDED7A3}"/>
    <cellStyle name="Standard 9" xfId="11" xr:uid="{CFD56AAD-1D29-49A8-9504-9AE33A443C46}"/>
  </cellStyles>
  <dxfs count="4">
    <dxf>
      <font>
        <color rgb="FFC00000"/>
      </font>
    </dxf>
    <dxf>
      <fill>
        <patternFill>
          <bgColor theme="6" tint="0.79998168889431442"/>
        </patternFill>
      </fill>
    </dxf>
    <dxf>
      <fill>
        <patternFill>
          <bgColor rgb="FF00B050"/>
        </patternFill>
      </fill>
    </dxf>
    <dxf>
      <fill>
        <patternFill>
          <bgColor rgb="FFF8FAF4"/>
        </patternFill>
      </fill>
      <border>
        <top style="thin">
          <color auto="1"/>
        </top>
        <bottom style="thin">
          <color auto="1"/>
        </bottom>
        <horizontal style="thin">
          <color auto="1"/>
        </horizontal>
      </border>
    </dxf>
  </dxfs>
  <tableStyles count="1" defaultTableStyle="TableStyleMedium2" defaultPivotStyle="PivotStyleLight16">
    <tableStyle name="Tabellenformat EXPORT" pivot="0" count="3" xr9:uid="{0D09E93C-5E62-4E20-9DA5-0395142EE30B}">
      <tableStyleElement type="wholeTable" dxfId="3"/>
      <tableStyleElement type="headerRow" dxfId="2"/>
      <tableStyleElement type="firstColumn"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Retentionsvolumen</a:t>
            </a:r>
          </a:p>
        </c:rich>
      </c:tx>
      <c:overlay val="0"/>
    </c:title>
    <c:autoTitleDeleted val="0"/>
    <c:plotArea>
      <c:layout>
        <c:manualLayout>
          <c:layoutTarget val="inner"/>
          <c:xMode val="edge"/>
          <c:yMode val="edge"/>
          <c:x val="0.16568528933883264"/>
          <c:y val="0.1647736819330145"/>
          <c:w val="0.78329883764529429"/>
          <c:h val="0.43406710752992672"/>
        </c:manualLayout>
      </c:layout>
      <c:scatterChart>
        <c:scatterStyle val="lineMarker"/>
        <c:varyColors val="0"/>
        <c:ser>
          <c:idx val="2"/>
          <c:order val="0"/>
          <c:tx>
            <c:strRef>
              <c:f>Berechnung_Retention!$I$31:$I$32</c:f>
              <c:strCache>
                <c:ptCount val="2"/>
                <c:pt idx="0">
                  <c:v>Ret_Volumen</c:v>
                </c:pt>
                <c:pt idx="1">
                  <c:v>m3</c:v>
                </c:pt>
              </c:strCache>
            </c:strRef>
          </c:tx>
          <c:spPr>
            <a:ln w="19050">
              <a:solidFill>
                <a:srgbClr val="FFC000"/>
              </a:solidFill>
            </a:ln>
          </c:spPr>
          <c:marker>
            <c:symbol val="none"/>
          </c:marker>
          <c:xVal>
            <c:numRef>
              <c:f>Berechnung_Retention!$B$33:$B$273</c:f>
              <c:numCache>
                <c:formatCode>General</c:formatCode>
                <c:ptCount val="241"/>
                <c:pt idx="0">
                  <c:v>0</c:v>
                </c:pt>
                <c:pt idx="1">
                  <c:v>0.5</c:v>
                </c:pt>
                <c:pt idx="2" formatCode="0.0">
                  <c:v>1</c:v>
                </c:pt>
                <c:pt idx="3" formatCode="0.0">
                  <c:v>1.5</c:v>
                </c:pt>
                <c:pt idx="4" formatCode="0.0">
                  <c:v>2</c:v>
                </c:pt>
                <c:pt idx="5" formatCode="0.0">
                  <c:v>2.5</c:v>
                </c:pt>
                <c:pt idx="6" formatCode="0.0">
                  <c:v>3</c:v>
                </c:pt>
                <c:pt idx="7" formatCode="0.0">
                  <c:v>3.5</c:v>
                </c:pt>
                <c:pt idx="8" formatCode="0.0">
                  <c:v>4</c:v>
                </c:pt>
                <c:pt idx="9" formatCode="0.0">
                  <c:v>4.5</c:v>
                </c:pt>
                <c:pt idx="10" formatCode="0.0">
                  <c:v>5</c:v>
                </c:pt>
                <c:pt idx="11" formatCode="0.0">
                  <c:v>5.5</c:v>
                </c:pt>
                <c:pt idx="12" formatCode="0.0">
                  <c:v>6</c:v>
                </c:pt>
                <c:pt idx="13" formatCode="0.0">
                  <c:v>6.5</c:v>
                </c:pt>
                <c:pt idx="14" formatCode="0.0">
                  <c:v>7</c:v>
                </c:pt>
                <c:pt idx="15" formatCode="0.0">
                  <c:v>7.5</c:v>
                </c:pt>
                <c:pt idx="16" formatCode="0.0">
                  <c:v>8</c:v>
                </c:pt>
                <c:pt idx="17" formatCode="0.0">
                  <c:v>8.5</c:v>
                </c:pt>
                <c:pt idx="18" formatCode="0.0">
                  <c:v>9</c:v>
                </c:pt>
                <c:pt idx="19" formatCode="0.0">
                  <c:v>9.5</c:v>
                </c:pt>
                <c:pt idx="20" formatCode="0.0">
                  <c:v>10</c:v>
                </c:pt>
                <c:pt idx="21" formatCode="0.0">
                  <c:v>10.5</c:v>
                </c:pt>
                <c:pt idx="22" formatCode="0.0">
                  <c:v>11</c:v>
                </c:pt>
                <c:pt idx="23" formatCode="0.0">
                  <c:v>11.5</c:v>
                </c:pt>
                <c:pt idx="24" formatCode="0.0">
                  <c:v>12</c:v>
                </c:pt>
                <c:pt idx="25" formatCode="0.0">
                  <c:v>12.5</c:v>
                </c:pt>
                <c:pt idx="26" formatCode="0.0">
                  <c:v>13</c:v>
                </c:pt>
                <c:pt idx="27" formatCode="0.0">
                  <c:v>13.5</c:v>
                </c:pt>
                <c:pt idx="28" formatCode="0.0">
                  <c:v>14</c:v>
                </c:pt>
                <c:pt idx="29" formatCode="0.0">
                  <c:v>14.5</c:v>
                </c:pt>
                <c:pt idx="30" formatCode="0.0">
                  <c:v>15</c:v>
                </c:pt>
                <c:pt idx="31" formatCode="0.0">
                  <c:v>15.5</c:v>
                </c:pt>
                <c:pt idx="32" formatCode="0.0">
                  <c:v>16</c:v>
                </c:pt>
                <c:pt idx="33" formatCode="0.0">
                  <c:v>16.5</c:v>
                </c:pt>
                <c:pt idx="34" formatCode="0.0">
                  <c:v>17</c:v>
                </c:pt>
                <c:pt idx="35" formatCode="0.0">
                  <c:v>17.5</c:v>
                </c:pt>
                <c:pt idx="36" formatCode="0.0">
                  <c:v>18</c:v>
                </c:pt>
                <c:pt idx="37" formatCode="0.0">
                  <c:v>18.5</c:v>
                </c:pt>
                <c:pt idx="38" formatCode="0.0">
                  <c:v>19</c:v>
                </c:pt>
                <c:pt idx="39" formatCode="0.0">
                  <c:v>19.5</c:v>
                </c:pt>
                <c:pt idx="40" formatCode="0.0">
                  <c:v>20</c:v>
                </c:pt>
                <c:pt idx="41" formatCode="0.0">
                  <c:v>20.5</c:v>
                </c:pt>
                <c:pt idx="42" formatCode="0.0">
                  <c:v>21</c:v>
                </c:pt>
                <c:pt idx="43" formatCode="0.0">
                  <c:v>21.5</c:v>
                </c:pt>
                <c:pt idx="44" formatCode="0.0">
                  <c:v>22</c:v>
                </c:pt>
                <c:pt idx="45" formatCode="0.0">
                  <c:v>22.5</c:v>
                </c:pt>
                <c:pt idx="46" formatCode="0.0">
                  <c:v>23</c:v>
                </c:pt>
                <c:pt idx="47" formatCode="0.0">
                  <c:v>23.5</c:v>
                </c:pt>
                <c:pt idx="48" formatCode="0.0">
                  <c:v>24</c:v>
                </c:pt>
                <c:pt idx="49" formatCode="0.0">
                  <c:v>24.5</c:v>
                </c:pt>
                <c:pt idx="50" formatCode="0.0">
                  <c:v>25</c:v>
                </c:pt>
                <c:pt idx="51" formatCode="0.0">
                  <c:v>25.5</c:v>
                </c:pt>
                <c:pt idx="52" formatCode="0.0">
                  <c:v>26</c:v>
                </c:pt>
                <c:pt idx="53" formatCode="0.0">
                  <c:v>26.5</c:v>
                </c:pt>
                <c:pt idx="54" formatCode="0.0">
                  <c:v>27</c:v>
                </c:pt>
                <c:pt idx="55" formatCode="0.0">
                  <c:v>27.5</c:v>
                </c:pt>
                <c:pt idx="56" formatCode="0.0">
                  <c:v>28</c:v>
                </c:pt>
                <c:pt idx="57" formatCode="0.0">
                  <c:v>28.5</c:v>
                </c:pt>
                <c:pt idx="58" formatCode="0.0">
                  <c:v>29</c:v>
                </c:pt>
                <c:pt idx="59" formatCode="0.0">
                  <c:v>29.5</c:v>
                </c:pt>
                <c:pt idx="60" formatCode="0.0">
                  <c:v>30</c:v>
                </c:pt>
                <c:pt idx="61" formatCode="0.0">
                  <c:v>30.5</c:v>
                </c:pt>
                <c:pt idx="62" formatCode="0.0">
                  <c:v>31</c:v>
                </c:pt>
                <c:pt idx="63" formatCode="0.0">
                  <c:v>31.5</c:v>
                </c:pt>
                <c:pt idx="64" formatCode="0.0">
                  <c:v>32</c:v>
                </c:pt>
                <c:pt idx="65" formatCode="0.0">
                  <c:v>32.5</c:v>
                </c:pt>
                <c:pt idx="66" formatCode="0.0">
                  <c:v>33</c:v>
                </c:pt>
                <c:pt idx="67" formatCode="0.0">
                  <c:v>33.5</c:v>
                </c:pt>
                <c:pt idx="68" formatCode="0.0">
                  <c:v>34</c:v>
                </c:pt>
                <c:pt idx="69" formatCode="0.0">
                  <c:v>34.5</c:v>
                </c:pt>
                <c:pt idx="70" formatCode="0.0">
                  <c:v>35</c:v>
                </c:pt>
                <c:pt idx="71" formatCode="0.0">
                  <c:v>35.5</c:v>
                </c:pt>
                <c:pt idx="72" formatCode="0.0">
                  <c:v>36</c:v>
                </c:pt>
                <c:pt idx="73" formatCode="0.0">
                  <c:v>36.5</c:v>
                </c:pt>
                <c:pt idx="74" formatCode="0.0">
                  <c:v>37</c:v>
                </c:pt>
                <c:pt idx="75" formatCode="0.0">
                  <c:v>37.5</c:v>
                </c:pt>
                <c:pt idx="76" formatCode="0.0">
                  <c:v>38</c:v>
                </c:pt>
                <c:pt idx="77" formatCode="0.0">
                  <c:v>38.5</c:v>
                </c:pt>
                <c:pt idx="78" formatCode="0.0">
                  <c:v>39</c:v>
                </c:pt>
                <c:pt idx="79" formatCode="0.0">
                  <c:v>39.5</c:v>
                </c:pt>
                <c:pt idx="80" formatCode="0.0">
                  <c:v>40</c:v>
                </c:pt>
                <c:pt idx="81" formatCode="0.0">
                  <c:v>40.5</c:v>
                </c:pt>
                <c:pt idx="82" formatCode="0.0">
                  <c:v>41</c:v>
                </c:pt>
                <c:pt idx="83" formatCode="0.0">
                  <c:v>41.5</c:v>
                </c:pt>
                <c:pt idx="84" formatCode="0.0">
                  <c:v>42</c:v>
                </c:pt>
                <c:pt idx="85" formatCode="0.0">
                  <c:v>42.5</c:v>
                </c:pt>
                <c:pt idx="86" formatCode="0.0">
                  <c:v>43</c:v>
                </c:pt>
                <c:pt idx="87" formatCode="0.0">
                  <c:v>43.5</c:v>
                </c:pt>
                <c:pt idx="88" formatCode="0.0">
                  <c:v>44</c:v>
                </c:pt>
                <c:pt idx="89" formatCode="0.0">
                  <c:v>44.5</c:v>
                </c:pt>
                <c:pt idx="90" formatCode="0.0">
                  <c:v>45</c:v>
                </c:pt>
                <c:pt idx="91" formatCode="0.0">
                  <c:v>45.5</c:v>
                </c:pt>
                <c:pt idx="92" formatCode="0.0">
                  <c:v>46</c:v>
                </c:pt>
                <c:pt idx="93" formatCode="0.0">
                  <c:v>46.5</c:v>
                </c:pt>
                <c:pt idx="94" formatCode="0.0">
                  <c:v>47</c:v>
                </c:pt>
                <c:pt idx="95" formatCode="0.0">
                  <c:v>47.5</c:v>
                </c:pt>
                <c:pt idx="96" formatCode="0.0">
                  <c:v>48</c:v>
                </c:pt>
                <c:pt idx="97" formatCode="0.0">
                  <c:v>48.5</c:v>
                </c:pt>
                <c:pt idx="98" formatCode="0.0">
                  <c:v>49</c:v>
                </c:pt>
                <c:pt idx="99" formatCode="0.0">
                  <c:v>49.5</c:v>
                </c:pt>
                <c:pt idx="100" formatCode="0.0">
                  <c:v>50</c:v>
                </c:pt>
                <c:pt idx="101" formatCode="0.0">
                  <c:v>50.5</c:v>
                </c:pt>
                <c:pt idx="102" formatCode="0.0">
                  <c:v>51</c:v>
                </c:pt>
                <c:pt idx="103" formatCode="0.0">
                  <c:v>51.5</c:v>
                </c:pt>
                <c:pt idx="104" formatCode="0.0">
                  <c:v>52</c:v>
                </c:pt>
                <c:pt idx="105" formatCode="0.0">
                  <c:v>52.5</c:v>
                </c:pt>
                <c:pt idx="106" formatCode="0.0">
                  <c:v>53</c:v>
                </c:pt>
                <c:pt idx="107" formatCode="0.0">
                  <c:v>53.5</c:v>
                </c:pt>
                <c:pt idx="108" formatCode="0.0">
                  <c:v>54</c:v>
                </c:pt>
                <c:pt idx="109" formatCode="0.0">
                  <c:v>54.5</c:v>
                </c:pt>
                <c:pt idx="110" formatCode="0.0">
                  <c:v>55</c:v>
                </c:pt>
                <c:pt idx="111" formatCode="0.0">
                  <c:v>55.5</c:v>
                </c:pt>
                <c:pt idx="112" formatCode="0.0">
                  <c:v>56</c:v>
                </c:pt>
                <c:pt idx="113" formatCode="0.0">
                  <c:v>56.5</c:v>
                </c:pt>
                <c:pt idx="114" formatCode="0.0">
                  <c:v>57</c:v>
                </c:pt>
                <c:pt idx="115" formatCode="0.0">
                  <c:v>57.5</c:v>
                </c:pt>
                <c:pt idx="116" formatCode="0.0">
                  <c:v>58</c:v>
                </c:pt>
                <c:pt idx="117" formatCode="0.0">
                  <c:v>58.5</c:v>
                </c:pt>
                <c:pt idx="118" formatCode="0.0">
                  <c:v>59</c:v>
                </c:pt>
                <c:pt idx="119" formatCode="0.0">
                  <c:v>59.5</c:v>
                </c:pt>
                <c:pt idx="120" formatCode="0.0">
                  <c:v>60</c:v>
                </c:pt>
                <c:pt idx="121" formatCode="0.0">
                  <c:v>60.5</c:v>
                </c:pt>
                <c:pt idx="122" formatCode="0.0">
                  <c:v>61</c:v>
                </c:pt>
                <c:pt idx="123" formatCode="0.0">
                  <c:v>61.5</c:v>
                </c:pt>
                <c:pt idx="124" formatCode="0.0">
                  <c:v>62</c:v>
                </c:pt>
                <c:pt idx="125" formatCode="0.0">
                  <c:v>62.5</c:v>
                </c:pt>
                <c:pt idx="126" formatCode="0.0">
                  <c:v>63</c:v>
                </c:pt>
                <c:pt idx="127" formatCode="0.0">
                  <c:v>63.5</c:v>
                </c:pt>
                <c:pt idx="128" formatCode="0.0">
                  <c:v>64</c:v>
                </c:pt>
                <c:pt idx="129" formatCode="0.0">
                  <c:v>64.5</c:v>
                </c:pt>
                <c:pt idx="130" formatCode="0.0">
                  <c:v>65</c:v>
                </c:pt>
                <c:pt idx="131" formatCode="0.0">
                  <c:v>65.5</c:v>
                </c:pt>
                <c:pt idx="132" formatCode="0.0">
                  <c:v>66</c:v>
                </c:pt>
                <c:pt idx="133" formatCode="0.0">
                  <c:v>66.5</c:v>
                </c:pt>
                <c:pt idx="134" formatCode="0.0">
                  <c:v>67</c:v>
                </c:pt>
                <c:pt idx="135" formatCode="0.0">
                  <c:v>67.5</c:v>
                </c:pt>
                <c:pt idx="136" formatCode="0.0">
                  <c:v>68</c:v>
                </c:pt>
                <c:pt idx="137" formatCode="0.0">
                  <c:v>68.5</c:v>
                </c:pt>
                <c:pt idx="138" formatCode="0.0">
                  <c:v>69</c:v>
                </c:pt>
                <c:pt idx="139" formatCode="0.0">
                  <c:v>69.5</c:v>
                </c:pt>
                <c:pt idx="140" formatCode="0.0">
                  <c:v>70</c:v>
                </c:pt>
                <c:pt idx="141" formatCode="0.0">
                  <c:v>70.5</c:v>
                </c:pt>
                <c:pt idx="142" formatCode="0.0">
                  <c:v>71</c:v>
                </c:pt>
                <c:pt idx="143" formatCode="0.0">
                  <c:v>71.5</c:v>
                </c:pt>
                <c:pt idx="144" formatCode="0.0">
                  <c:v>72</c:v>
                </c:pt>
                <c:pt idx="145" formatCode="0.0">
                  <c:v>72.5</c:v>
                </c:pt>
                <c:pt idx="146" formatCode="0.0">
                  <c:v>73</c:v>
                </c:pt>
                <c:pt idx="147" formatCode="0.0">
                  <c:v>73.5</c:v>
                </c:pt>
                <c:pt idx="148" formatCode="0.0">
                  <c:v>74</c:v>
                </c:pt>
                <c:pt idx="149" formatCode="0.0">
                  <c:v>74.5</c:v>
                </c:pt>
                <c:pt idx="150" formatCode="0.0">
                  <c:v>75</c:v>
                </c:pt>
                <c:pt idx="151" formatCode="0.0">
                  <c:v>75.5</c:v>
                </c:pt>
                <c:pt idx="152" formatCode="0.0">
                  <c:v>76</c:v>
                </c:pt>
                <c:pt idx="153" formatCode="0.0">
                  <c:v>76.5</c:v>
                </c:pt>
                <c:pt idx="154" formatCode="0.0">
                  <c:v>77</c:v>
                </c:pt>
                <c:pt idx="155" formatCode="0.0">
                  <c:v>77.5</c:v>
                </c:pt>
                <c:pt idx="156" formatCode="0.0">
                  <c:v>78</c:v>
                </c:pt>
                <c:pt idx="157" formatCode="0.0">
                  <c:v>78.5</c:v>
                </c:pt>
                <c:pt idx="158" formatCode="0.0">
                  <c:v>79</c:v>
                </c:pt>
                <c:pt idx="159" formatCode="0.0">
                  <c:v>79.5</c:v>
                </c:pt>
                <c:pt idx="160" formatCode="0.0">
                  <c:v>80</c:v>
                </c:pt>
                <c:pt idx="161" formatCode="0.0">
                  <c:v>80.5</c:v>
                </c:pt>
                <c:pt idx="162" formatCode="0.0">
                  <c:v>81</c:v>
                </c:pt>
                <c:pt idx="163" formatCode="0.0">
                  <c:v>81.5</c:v>
                </c:pt>
                <c:pt idx="164" formatCode="0.0">
                  <c:v>82</c:v>
                </c:pt>
                <c:pt idx="165" formatCode="0.0">
                  <c:v>82.5</c:v>
                </c:pt>
                <c:pt idx="166" formatCode="0.0">
                  <c:v>83</c:v>
                </c:pt>
                <c:pt idx="167" formatCode="0.0">
                  <c:v>83.5</c:v>
                </c:pt>
                <c:pt idx="168" formatCode="0.0">
                  <c:v>84</c:v>
                </c:pt>
                <c:pt idx="169" formatCode="0.0">
                  <c:v>84.5</c:v>
                </c:pt>
                <c:pt idx="170" formatCode="0.0">
                  <c:v>85</c:v>
                </c:pt>
                <c:pt idx="171" formatCode="0.0">
                  <c:v>85.5</c:v>
                </c:pt>
                <c:pt idx="172" formatCode="0.0">
                  <c:v>86</c:v>
                </c:pt>
                <c:pt idx="173" formatCode="0.0">
                  <c:v>86.5</c:v>
                </c:pt>
                <c:pt idx="174" formatCode="0.0">
                  <c:v>87</c:v>
                </c:pt>
                <c:pt idx="175" formatCode="0.0">
                  <c:v>87.5</c:v>
                </c:pt>
                <c:pt idx="176" formatCode="0.0">
                  <c:v>88</c:v>
                </c:pt>
                <c:pt idx="177" formatCode="0.0">
                  <c:v>88.5</c:v>
                </c:pt>
                <c:pt idx="178" formatCode="0.0">
                  <c:v>89</c:v>
                </c:pt>
                <c:pt idx="179" formatCode="0.0">
                  <c:v>89.5</c:v>
                </c:pt>
                <c:pt idx="180" formatCode="0.0">
                  <c:v>90</c:v>
                </c:pt>
                <c:pt idx="181" formatCode="0.0">
                  <c:v>90.5</c:v>
                </c:pt>
                <c:pt idx="182" formatCode="0.0">
                  <c:v>91</c:v>
                </c:pt>
                <c:pt idx="183" formatCode="0.0">
                  <c:v>91.5</c:v>
                </c:pt>
                <c:pt idx="184" formatCode="0.0">
                  <c:v>92</c:v>
                </c:pt>
                <c:pt idx="185" formatCode="0.0">
                  <c:v>92.5</c:v>
                </c:pt>
                <c:pt idx="186" formatCode="0.0">
                  <c:v>93</c:v>
                </c:pt>
                <c:pt idx="187" formatCode="0.0">
                  <c:v>93.5</c:v>
                </c:pt>
                <c:pt idx="188" formatCode="0.0">
                  <c:v>94</c:v>
                </c:pt>
                <c:pt idx="189" formatCode="0.0">
                  <c:v>94.5</c:v>
                </c:pt>
                <c:pt idx="190" formatCode="0.0">
                  <c:v>95</c:v>
                </c:pt>
                <c:pt idx="191" formatCode="0.0">
                  <c:v>95.5</c:v>
                </c:pt>
                <c:pt idx="192" formatCode="0.0">
                  <c:v>96</c:v>
                </c:pt>
                <c:pt idx="193" formatCode="0.0">
                  <c:v>96.5</c:v>
                </c:pt>
                <c:pt idx="194" formatCode="0.0">
                  <c:v>97</c:v>
                </c:pt>
                <c:pt idx="195" formatCode="0.0">
                  <c:v>97.5</c:v>
                </c:pt>
                <c:pt idx="196" formatCode="0.0">
                  <c:v>98</c:v>
                </c:pt>
                <c:pt idx="197" formatCode="0.0">
                  <c:v>98.5</c:v>
                </c:pt>
                <c:pt idx="198" formatCode="0.0">
                  <c:v>99</c:v>
                </c:pt>
                <c:pt idx="199" formatCode="0.0">
                  <c:v>99.5</c:v>
                </c:pt>
                <c:pt idx="200" formatCode="0.0">
                  <c:v>100</c:v>
                </c:pt>
                <c:pt idx="201" formatCode="0.0">
                  <c:v>100.5</c:v>
                </c:pt>
                <c:pt idx="202" formatCode="0.0">
                  <c:v>101</c:v>
                </c:pt>
                <c:pt idx="203" formatCode="0.0">
                  <c:v>101.5</c:v>
                </c:pt>
                <c:pt idx="204" formatCode="0.0">
                  <c:v>102</c:v>
                </c:pt>
                <c:pt idx="205" formatCode="0.0">
                  <c:v>102.5</c:v>
                </c:pt>
                <c:pt idx="206" formatCode="0.0">
                  <c:v>103</c:v>
                </c:pt>
                <c:pt idx="207" formatCode="0.0">
                  <c:v>103.5</c:v>
                </c:pt>
                <c:pt idx="208" formatCode="0.0">
                  <c:v>104</c:v>
                </c:pt>
                <c:pt idx="209" formatCode="0.0">
                  <c:v>104.5</c:v>
                </c:pt>
                <c:pt idx="210" formatCode="0.0">
                  <c:v>105</c:v>
                </c:pt>
                <c:pt idx="211" formatCode="0.0">
                  <c:v>105.5</c:v>
                </c:pt>
                <c:pt idx="212" formatCode="0.0">
                  <c:v>106</c:v>
                </c:pt>
                <c:pt idx="213" formatCode="0.0">
                  <c:v>106.5</c:v>
                </c:pt>
                <c:pt idx="214" formatCode="0.0">
                  <c:v>107</c:v>
                </c:pt>
                <c:pt idx="215" formatCode="0.0">
                  <c:v>107.5</c:v>
                </c:pt>
                <c:pt idx="216" formatCode="0.0">
                  <c:v>108</c:v>
                </c:pt>
                <c:pt idx="217" formatCode="0.0">
                  <c:v>108.5</c:v>
                </c:pt>
                <c:pt idx="218" formatCode="0.0">
                  <c:v>109</c:v>
                </c:pt>
                <c:pt idx="219" formatCode="0.0">
                  <c:v>109.5</c:v>
                </c:pt>
                <c:pt idx="220" formatCode="0.0">
                  <c:v>110</c:v>
                </c:pt>
                <c:pt idx="221" formatCode="0.0">
                  <c:v>110.5</c:v>
                </c:pt>
                <c:pt idx="222" formatCode="0.0">
                  <c:v>111</c:v>
                </c:pt>
                <c:pt idx="223" formatCode="0.0">
                  <c:v>111.5</c:v>
                </c:pt>
                <c:pt idx="224" formatCode="0.0">
                  <c:v>112</c:v>
                </c:pt>
                <c:pt idx="225" formatCode="0.0">
                  <c:v>112.5</c:v>
                </c:pt>
                <c:pt idx="226" formatCode="0.0">
                  <c:v>113</c:v>
                </c:pt>
                <c:pt idx="227" formatCode="0.0">
                  <c:v>113.5</c:v>
                </c:pt>
                <c:pt idx="228" formatCode="0.0">
                  <c:v>114</c:v>
                </c:pt>
                <c:pt idx="229" formatCode="0.0">
                  <c:v>114.5</c:v>
                </c:pt>
                <c:pt idx="230" formatCode="0.0">
                  <c:v>115</c:v>
                </c:pt>
                <c:pt idx="231" formatCode="0.0">
                  <c:v>115.5</c:v>
                </c:pt>
                <c:pt idx="232" formatCode="0.0">
                  <c:v>116</c:v>
                </c:pt>
                <c:pt idx="233" formatCode="0.0">
                  <c:v>116.5</c:v>
                </c:pt>
                <c:pt idx="234" formatCode="0.0">
                  <c:v>117</c:v>
                </c:pt>
                <c:pt idx="235" formatCode="0.0">
                  <c:v>117.5</c:v>
                </c:pt>
                <c:pt idx="236" formatCode="0.0">
                  <c:v>118</c:v>
                </c:pt>
                <c:pt idx="237" formatCode="0.0">
                  <c:v>118.5</c:v>
                </c:pt>
                <c:pt idx="238" formatCode="0.0">
                  <c:v>119</c:v>
                </c:pt>
                <c:pt idx="239" formatCode="0.0">
                  <c:v>119.5</c:v>
                </c:pt>
                <c:pt idx="240" formatCode="0.0">
                  <c:v>120</c:v>
                </c:pt>
              </c:numCache>
            </c:numRef>
          </c:xVal>
          <c:yVal>
            <c:numRef>
              <c:f>Berechnung_Retention!$I$33:$I$273</c:f>
              <c:numCache>
                <c:formatCode>0.0</c:formatCode>
                <c:ptCount val="2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numCache>
            </c:numRef>
          </c:yVal>
          <c:smooth val="0"/>
          <c:extLst>
            <c:ext xmlns:c16="http://schemas.microsoft.com/office/drawing/2014/chart" uri="{C3380CC4-5D6E-409C-BE32-E72D297353CC}">
              <c16:uniqueId val="{00000000-4E42-44F8-A2D7-62B5634EC55A}"/>
            </c:ext>
          </c:extLst>
        </c:ser>
        <c:ser>
          <c:idx val="0"/>
          <c:order val="1"/>
          <c:tx>
            <c:strRef>
              <c:f>Berechnung_Retention!$G$31:$G$32</c:f>
              <c:strCache>
                <c:ptCount val="2"/>
                <c:pt idx="0">
                  <c:v>Regenmenge</c:v>
                </c:pt>
                <c:pt idx="1">
                  <c:v>m3</c:v>
                </c:pt>
              </c:strCache>
            </c:strRef>
          </c:tx>
          <c:spPr>
            <a:ln w="19050">
              <a:solidFill>
                <a:srgbClr val="0070C0"/>
              </a:solidFill>
            </a:ln>
          </c:spPr>
          <c:marker>
            <c:symbol val="none"/>
          </c:marker>
          <c:xVal>
            <c:numRef>
              <c:f>Berechnung_Retention!$B$33:$B$273</c:f>
              <c:numCache>
                <c:formatCode>General</c:formatCode>
                <c:ptCount val="241"/>
                <c:pt idx="0">
                  <c:v>0</c:v>
                </c:pt>
                <c:pt idx="1">
                  <c:v>0.5</c:v>
                </c:pt>
                <c:pt idx="2" formatCode="0.0">
                  <c:v>1</c:v>
                </c:pt>
                <c:pt idx="3" formatCode="0.0">
                  <c:v>1.5</c:v>
                </c:pt>
                <c:pt idx="4" formatCode="0.0">
                  <c:v>2</c:v>
                </c:pt>
                <c:pt idx="5" formatCode="0.0">
                  <c:v>2.5</c:v>
                </c:pt>
                <c:pt idx="6" formatCode="0.0">
                  <c:v>3</c:v>
                </c:pt>
                <c:pt idx="7" formatCode="0.0">
                  <c:v>3.5</c:v>
                </c:pt>
                <c:pt idx="8" formatCode="0.0">
                  <c:v>4</c:v>
                </c:pt>
                <c:pt idx="9" formatCode="0.0">
                  <c:v>4.5</c:v>
                </c:pt>
                <c:pt idx="10" formatCode="0.0">
                  <c:v>5</c:v>
                </c:pt>
                <c:pt idx="11" formatCode="0.0">
                  <c:v>5.5</c:v>
                </c:pt>
                <c:pt idx="12" formatCode="0.0">
                  <c:v>6</c:v>
                </c:pt>
                <c:pt idx="13" formatCode="0.0">
                  <c:v>6.5</c:v>
                </c:pt>
                <c:pt idx="14" formatCode="0.0">
                  <c:v>7</c:v>
                </c:pt>
                <c:pt idx="15" formatCode="0.0">
                  <c:v>7.5</c:v>
                </c:pt>
                <c:pt idx="16" formatCode="0.0">
                  <c:v>8</c:v>
                </c:pt>
                <c:pt idx="17" formatCode="0.0">
                  <c:v>8.5</c:v>
                </c:pt>
                <c:pt idx="18" formatCode="0.0">
                  <c:v>9</c:v>
                </c:pt>
                <c:pt idx="19" formatCode="0.0">
                  <c:v>9.5</c:v>
                </c:pt>
                <c:pt idx="20" formatCode="0.0">
                  <c:v>10</c:v>
                </c:pt>
                <c:pt idx="21" formatCode="0.0">
                  <c:v>10.5</c:v>
                </c:pt>
                <c:pt idx="22" formatCode="0.0">
                  <c:v>11</c:v>
                </c:pt>
                <c:pt idx="23" formatCode="0.0">
                  <c:v>11.5</c:v>
                </c:pt>
                <c:pt idx="24" formatCode="0.0">
                  <c:v>12</c:v>
                </c:pt>
                <c:pt idx="25" formatCode="0.0">
                  <c:v>12.5</c:v>
                </c:pt>
                <c:pt idx="26" formatCode="0.0">
                  <c:v>13</c:v>
                </c:pt>
                <c:pt idx="27" formatCode="0.0">
                  <c:v>13.5</c:v>
                </c:pt>
                <c:pt idx="28" formatCode="0.0">
                  <c:v>14</c:v>
                </c:pt>
                <c:pt idx="29" formatCode="0.0">
                  <c:v>14.5</c:v>
                </c:pt>
                <c:pt idx="30" formatCode="0.0">
                  <c:v>15</c:v>
                </c:pt>
                <c:pt idx="31" formatCode="0.0">
                  <c:v>15.5</c:v>
                </c:pt>
                <c:pt idx="32" formatCode="0.0">
                  <c:v>16</c:v>
                </c:pt>
                <c:pt idx="33" formatCode="0.0">
                  <c:v>16.5</c:v>
                </c:pt>
                <c:pt idx="34" formatCode="0.0">
                  <c:v>17</c:v>
                </c:pt>
                <c:pt idx="35" formatCode="0.0">
                  <c:v>17.5</c:v>
                </c:pt>
                <c:pt idx="36" formatCode="0.0">
                  <c:v>18</c:v>
                </c:pt>
                <c:pt idx="37" formatCode="0.0">
                  <c:v>18.5</c:v>
                </c:pt>
                <c:pt idx="38" formatCode="0.0">
                  <c:v>19</c:v>
                </c:pt>
                <c:pt idx="39" formatCode="0.0">
                  <c:v>19.5</c:v>
                </c:pt>
                <c:pt idx="40" formatCode="0.0">
                  <c:v>20</c:v>
                </c:pt>
                <c:pt idx="41" formatCode="0.0">
                  <c:v>20.5</c:v>
                </c:pt>
                <c:pt idx="42" formatCode="0.0">
                  <c:v>21</c:v>
                </c:pt>
                <c:pt idx="43" formatCode="0.0">
                  <c:v>21.5</c:v>
                </c:pt>
                <c:pt idx="44" formatCode="0.0">
                  <c:v>22</c:v>
                </c:pt>
                <c:pt idx="45" formatCode="0.0">
                  <c:v>22.5</c:v>
                </c:pt>
                <c:pt idx="46" formatCode="0.0">
                  <c:v>23</c:v>
                </c:pt>
                <c:pt idx="47" formatCode="0.0">
                  <c:v>23.5</c:v>
                </c:pt>
                <c:pt idx="48" formatCode="0.0">
                  <c:v>24</c:v>
                </c:pt>
                <c:pt idx="49" formatCode="0.0">
                  <c:v>24.5</c:v>
                </c:pt>
                <c:pt idx="50" formatCode="0.0">
                  <c:v>25</c:v>
                </c:pt>
                <c:pt idx="51" formatCode="0.0">
                  <c:v>25.5</c:v>
                </c:pt>
                <c:pt idx="52" formatCode="0.0">
                  <c:v>26</c:v>
                </c:pt>
                <c:pt idx="53" formatCode="0.0">
                  <c:v>26.5</c:v>
                </c:pt>
                <c:pt idx="54" formatCode="0.0">
                  <c:v>27</c:v>
                </c:pt>
                <c:pt idx="55" formatCode="0.0">
                  <c:v>27.5</c:v>
                </c:pt>
                <c:pt idx="56" formatCode="0.0">
                  <c:v>28</c:v>
                </c:pt>
                <c:pt idx="57" formatCode="0.0">
                  <c:v>28.5</c:v>
                </c:pt>
                <c:pt idx="58" formatCode="0.0">
                  <c:v>29</c:v>
                </c:pt>
                <c:pt idx="59" formatCode="0.0">
                  <c:v>29.5</c:v>
                </c:pt>
                <c:pt idx="60" formatCode="0.0">
                  <c:v>30</c:v>
                </c:pt>
                <c:pt idx="61" formatCode="0.0">
                  <c:v>30.5</c:v>
                </c:pt>
                <c:pt idx="62" formatCode="0.0">
                  <c:v>31</c:v>
                </c:pt>
                <c:pt idx="63" formatCode="0.0">
                  <c:v>31.5</c:v>
                </c:pt>
                <c:pt idx="64" formatCode="0.0">
                  <c:v>32</c:v>
                </c:pt>
                <c:pt idx="65" formatCode="0.0">
                  <c:v>32.5</c:v>
                </c:pt>
                <c:pt idx="66" formatCode="0.0">
                  <c:v>33</c:v>
                </c:pt>
                <c:pt idx="67" formatCode="0.0">
                  <c:v>33.5</c:v>
                </c:pt>
                <c:pt idx="68" formatCode="0.0">
                  <c:v>34</c:v>
                </c:pt>
                <c:pt idx="69" formatCode="0.0">
                  <c:v>34.5</c:v>
                </c:pt>
                <c:pt idx="70" formatCode="0.0">
                  <c:v>35</c:v>
                </c:pt>
                <c:pt idx="71" formatCode="0.0">
                  <c:v>35.5</c:v>
                </c:pt>
                <c:pt idx="72" formatCode="0.0">
                  <c:v>36</c:v>
                </c:pt>
                <c:pt idx="73" formatCode="0.0">
                  <c:v>36.5</c:v>
                </c:pt>
                <c:pt idx="74" formatCode="0.0">
                  <c:v>37</c:v>
                </c:pt>
                <c:pt idx="75" formatCode="0.0">
                  <c:v>37.5</c:v>
                </c:pt>
                <c:pt idx="76" formatCode="0.0">
                  <c:v>38</c:v>
                </c:pt>
                <c:pt idx="77" formatCode="0.0">
                  <c:v>38.5</c:v>
                </c:pt>
                <c:pt idx="78" formatCode="0.0">
                  <c:v>39</c:v>
                </c:pt>
                <c:pt idx="79" formatCode="0.0">
                  <c:v>39.5</c:v>
                </c:pt>
                <c:pt idx="80" formatCode="0.0">
                  <c:v>40</c:v>
                </c:pt>
                <c:pt idx="81" formatCode="0.0">
                  <c:v>40.5</c:v>
                </c:pt>
                <c:pt idx="82" formatCode="0.0">
                  <c:v>41</c:v>
                </c:pt>
                <c:pt idx="83" formatCode="0.0">
                  <c:v>41.5</c:v>
                </c:pt>
                <c:pt idx="84" formatCode="0.0">
                  <c:v>42</c:v>
                </c:pt>
                <c:pt idx="85" formatCode="0.0">
                  <c:v>42.5</c:v>
                </c:pt>
                <c:pt idx="86" formatCode="0.0">
                  <c:v>43</c:v>
                </c:pt>
                <c:pt idx="87" formatCode="0.0">
                  <c:v>43.5</c:v>
                </c:pt>
                <c:pt idx="88" formatCode="0.0">
                  <c:v>44</c:v>
                </c:pt>
                <c:pt idx="89" formatCode="0.0">
                  <c:v>44.5</c:v>
                </c:pt>
                <c:pt idx="90" formatCode="0.0">
                  <c:v>45</c:v>
                </c:pt>
                <c:pt idx="91" formatCode="0.0">
                  <c:v>45.5</c:v>
                </c:pt>
                <c:pt idx="92" formatCode="0.0">
                  <c:v>46</c:v>
                </c:pt>
                <c:pt idx="93" formatCode="0.0">
                  <c:v>46.5</c:v>
                </c:pt>
                <c:pt idx="94" formatCode="0.0">
                  <c:v>47</c:v>
                </c:pt>
                <c:pt idx="95" formatCode="0.0">
                  <c:v>47.5</c:v>
                </c:pt>
                <c:pt idx="96" formatCode="0.0">
                  <c:v>48</c:v>
                </c:pt>
                <c:pt idx="97" formatCode="0.0">
                  <c:v>48.5</c:v>
                </c:pt>
                <c:pt idx="98" formatCode="0.0">
                  <c:v>49</c:v>
                </c:pt>
                <c:pt idx="99" formatCode="0.0">
                  <c:v>49.5</c:v>
                </c:pt>
                <c:pt idx="100" formatCode="0.0">
                  <c:v>50</c:v>
                </c:pt>
                <c:pt idx="101" formatCode="0.0">
                  <c:v>50.5</c:v>
                </c:pt>
                <c:pt idx="102" formatCode="0.0">
                  <c:v>51</c:v>
                </c:pt>
                <c:pt idx="103" formatCode="0.0">
                  <c:v>51.5</c:v>
                </c:pt>
                <c:pt idx="104" formatCode="0.0">
                  <c:v>52</c:v>
                </c:pt>
                <c:pt idx="105" formatCode="0.0">
                  <c:v>52.5</c:v>
                </c:pt>
                <c:pt idx="106" formatCode="0.0">
                  <c:v>53</c:v>
                </c:pt>
                <c:pt idx="107" formatCode="0.0">
                  <c:v>53.5</c:v>
                </c:pt>
                <c:pt idx="108" formatCode="0.0">
                  <c:v>54</c:v>
                </c:pt>
                <c:pt idx="109" formatCode="0.0">
                  <c:v>54.5</c:v>
                </c:pt>
                <c:pt idx="110" formatCode="0.0">
                  <c:v>55</c:v>
                </c:pt>
                <c:pt idx="111" formatCode="0.0">
                  <c:v>55.5</c:v>
                </c:pt>
                <c:pt idx="112" formatCode="0.0">
                  <c:v>56</c:v>
                </c:pt>
                <c:pt idx="113" formatCode="0.0">
                  <c:v>56.5</c:v>
                </c:pt>
                <c:pt idx="114" formatCode="0.0">
                  <c:v>57</c:v>
                </c:pt>
                <c:pt idx="115" formatCode="0.0">
                  <c:v>57.5</c:v>
                </c:pt>
                <c:pt idx="116" formatCode="0.0">
                  <c:v>58</c:v>
                </c:pt>
                <c:pt idx="117" formatCode="0.0">
                  <c:v>58.5</c:v>
                </c:pt>
                <c:pt idx="118" formatCode="0.0">
                  <c:v>59</c:v>
                </c:pt>
                <c:pt idx="119" formatCode="0.0">
                  <c:v>59.5</c:v>
                </c:pt>
                <c:pt idx="120" formatCode="0.0">
                  <c:v>60</c:v>
                </c:pt>
                <c:pt idx="121" formatCode="0.0">
                  <c:v>60.5</c:v>
                </c:pt>
                <c:pt idx="122" formatCode="0.0">
                  <c:v>61</c:v>
                </c:pt>
                <c:pt idx="123" formatCode="0.0">
                  <c:v>61.5</c:v>
                </c:pt>
                <c:pt idx="124" formatCode="0.0">
                  <c:v>62</c:v>
                </c:pt>
                <c:pt idx="125" formatCode="0.0">
                  <c:v>62.5</c:v>
                </c:pt>
                <c:pt idx="126" formatCode="0.0">
                  <c:v>63</c:v>
                </c:pt>
                <c:pt idx="127" formatCode="0.0">
                  <c:v>63.5</c:v>
                </c:pt>
                <c:pt idx="128" formatCode="0.0">
                  <c:v>64</c:v>
                </c:pt>
                <c:pt idx="129" formatCode="0.0">
                  <c:v>64.5</c:v>
                </c:pt>
                <c:pt idx="130" formatCode="0.0">
                  <c:v>65</c:v>
                </c:pt>
                <c:pt idx="131" formatCode="0.0">
                  <c:v>65.5</c:v>
                </c:pt>
                <c:pt idx="132" formatCode="0.0">
                  <c:v>66</c:v>
                </c:pt>
                <c:pt idx="133" formatCode="0.0">
                  <c:v>66.5</c:v>
                </c:pt>
                <c:pt idx="134" formatCode="0.0">
                  <c:v>67</c:v>
                </c:pt>
                <c:pt idx="135" formatCode="0.0">
                  <c:v>67.5</c:v>
                </c:pt>
                <c:pt idx="136" formatCode="0.0">
                  <c:v>68</c:v>
                </c:pt>
                <c:pt idx="137" formatCode="0.0">
                  <c:v>68.5</c:v>
                </c:pt>
                <c:pt idx="138" formatCode="0.0">
                  <c:v>69</c:v>
                </c:pt>
                <c:pt idx="139" formatCode="0.0">
                  <c:v>69.5</c:v>
                </c:pt>
                <c:pt idx="140" formatCode="0.0">
                  <c:v>70</c:v>
                </c:pt>
                <c:pt idx="141" formatCode="0.0">
                  <c:v>70.5</c:v>
                </c:pt>
                <c:pt idx="142" formatCode="0.0">
                  <c:v>71</c:v>
                </c:pt>
                <c:pt idx="143" formatCode="0.0">
                  <c:v>71.5</c:v>
                </c:pt>
                <c:pt idx="144" formatCode="0.0">
                  <c:v>72</c:v>
                </c:pt>
                <c:pt idx="145" formatCode="0.0">
                  <c:v>72.5</c:v>
                </c:pt>
                <c:pt idx="146" formatCode="0.0">
                  <c:v>73</c:v>
                </c:pt>
                <c:pt idx="147" formatCode="0.0">
                  <c:v>73.5</c:v>
                </c:pt>
                <c:pt idx="148" formatCode="0.0">
                  <c:v>74</c:v>
                </c:pt>
                <c:pt idx="149" formatCode="0.0">
                  <c:v>74.5</c:v>
                </c:pt>
                <c:pt idx="150" formatCode="0.0">
                  <c:v>75</c:v>
                </c:pt>
                <c:pt idx="151" formatCode="0.0">
                  <c:v>75.5</c:v>
                </c:pt>
                <c:pt idx="152" formatCode="0.0">
                  <c:v>76</c:v>
                </c:pt>
                <c:pt idx="153" formatCode="0.0">
                  <c:v>76.5</c:v>
                </c:pt>
                <c:pt idx="154" formatCode="0.0">
                  <c:v>77</c:v>
                </c:pt>
                <c:pt idx="155" formatCode="0.0">
                  <c:v>77.5</c:v>
                </c:pt>
                <c:pt idx="156" formatCode="0.0">
                  <c:v>78</c:v>
                </c:pt>
                <c:pt idx="157" formatCode="0.0">
                  <c:v>78.5</c:v>
                </c:pt>
                <c:pt idx="158" formatCode="0.0">
                  <c:v>79</c:v>
                </c:pt>
                <c:pt idx="159" formatCode="0.0">
                  <c:v>79.5</c:v>
                </c:pt>
                <c:pt idx="160" formatCode="0.0">
                  <c:v>80</c:v>
                </c:pt>
                <c:pt idx="161" formatCode="0.0">
                  <c:v>80.5</c:v>
                </c:pt>
                <c:pt idx="162" formatCode="0.0">
                  <c:v>81</c:v>
                </c:pt>
                <c:pt idx="163" formatCode="0.0">
                  <c:v>81.5</c:v>
                </c:pt>
                <c:pt idx="164" formatCode="0.0">
                  <c:v>82</c:v>
                </c:pt>
                <c:pt idx="165" formatCode="0.0">
                  <c:v>82.5</c:v>
                </c:pt>
                <c:pt idx="166" formatCode="0.0">
                  <c:v>83</c:v>
                </c:pt>
                <c:pt idx="167" formatCode="0.0">
                  <c:v>83.5</c:v>
                </c:pt>
                <c:pt idx="168" formatCode="0.0">
                  <c:v>84</c:v>
                </c:pt>
                <c:pt idx="169" formatCode="0.0">
                  <c:v>84.5</c:v>
                </c:pt>
                <c:pt idx="170" formatCode="0.0">
                  <c:v>85</c:v>
                </c:pt>
                <c:pt idx="171" formatCode="0.0">
                  <c:v>85.5</c:v>
                </c:pt>
                <c:pt idx="172" formatCode="0.0">
                  <c:v>86</c:v>
                </c:pt>
                <c:pt idx="173" formatCode="0.0">
                  <c:v>86.5</c:v>
                </c:pt>
                <c:pt idx="174" formatCode="0.0">
                  <c:v>87</c:v>
                </c:pt>
                <c:pt idx="175" formatCode="0.0">
                  <c:v>87.5</c:v>
                </c:pt>
                <c:pt idx="176" formatCode="0.0">
                  <c:v>88</c:v>
                </c:pt>
                <c:pt idx="177" formatCode="0.0">
                  <c:v>88.5</c:v>
                </c:pt>
                <c:pt idx="178" formatCode="0.0">
                  <c:v>89</c:v>
                </c:pt>
                <c:pt idx="179" formatCode="0.0">
                  <c:v>89.5</c:v>
                </c:pt>
                <c:pt idx="180" formatCode="0.0">
                  <c:v>90</c:v>
                </c:pt>
                <c:pt idx="181" formatCode="0.0">
                  <c:v>90.5</c:v>
                </c:pt>
                <c:pt idx="182" formatCode="0.0">
                  <c:v>91</c:v>
                </c:pt>
                <c:pt idx="183" formatCode="0.0">
                  <c:v>91.5</c:v>
                </c:pt>
                <c:pt idx="184" formatCode="0.0">
                  <c:v>92</c:v>
                </c:pt>
                <c:pt idx="185" formatCode="0.0">
                  <c:v>92.5</c:v>
                </c:pt>
                <c:pt idx="186" formatCode="0.0">
                  <c:v>93</c:v>
                </c:pt>
                <c:pt idx="187" formatCode="0.0">
                  <c:v>93.5</c:v>
                </c:pt>
                <c:pt idx="188" formatCode="0.0">
                  <c:v>94</c:v>
                </c:pt>
                <c:pt idx="189" formatCode="0.0">
                  <c:v>94.5</c:v>
                </c:pt>
                <c:pt idx="190" formatCode="0.0">
                  <c:v>95</c:v>
                </c:pt>
                <c:pt idx="191" formatCode="0.0">
                  <c:v>95.5</c:v>
                </c:pt>
                <c:pt idx="192" formatCode="0.0">
                  <c:v>96</c:v>
                </c:pt>
                <c:pt idx="193" formatCode="0.0">
                  <c:v>96.5</c:v>
                </c:pt>
                <c:pt idx="194" formatCode="0.0">
                  <c:v>97</c:v>
                </c:pt>
                <c:pt idx="195" formatCode="0.0">
                  <c:v>97.5</c:v>
                </c:pt>
                <c:pt idx="196" formatCode="0.0">
                  <c:v>98</c:v>
                </c:pt>
                <c:pt idx="197" formatCode="0.0">
                  <c:v>98.5</c:v>
                </c:pt>
                <c:pt idx="198" formatCode="0.0">
                  <c:v>99</c:v>
                </c:pt>
                <c:pt idx="199" formatCode="0.0">
                  <c:v>99.5</c:v>
                </c:pt>
                <c:pt idx="200" formatCode="0.0">
                  <c:v>100</c:v>
                </c:pt>
                <c:pt idx="201" formatCode="0.0">
                  <c:v>100.5</c:v>
                </c:pt>
                <c:pt idx="202" formatCode="0.0">
                  <c:v>101</c:v>
                </c:pt>
                <c:pt idx="203" formatCode="0.0">
                  <c:v>101.5</c:v>
                </c:pt>
                <c:pt idx="204" formatCode="0.0">
                  <c:v>102</c:v>
                </c:pt>
                <c:pt idx="205" formatCode="0.0">
                  <c:v>102.5</c:v>
                </c:pt>
                <c:pt idx="206" formatCode="0.0">
                  <c:v>103</c:v>
                </c:pt>
                <c:pt idx="207" formatCode="0.0">
                  <c:v>103.5</c:v>
                </c:pt>
                <c:pt idx="208" formatCode="0.0">
                  <c:v>104</c:v>
                </c:pt>
                <c:pt idx="209" formatCode="0.0">
                  <c:v>104.5</c:v>
                </c:pt>
                <c:pt idx="210" formatCode="0.0">
                  <c:v>105</c:v>
                </c:pt>
                <c:pt idx="211" formatCode="0.0">
                  <c:v>105.5</c:v>
                </c:pt>
                <c:pt idx="212" formatCode="0.0">
                  <c:v>106</c:v>
                </c:pt>
                <c:pt idx="213" formatCode="0.0">
                  <c:v>106.5</c:v>
                </c:pt>
                <c:pt idx="214" formatCode="0.0">
                  <c:v>107</c:v>
                </c:pt>
                <c:pt idx="215" formatCode="0.0">
                  <c:v>107.5</c:v>
                </c:pt>
                <c:pt idx="216" formatCode="0.0">
                  <c:v>108</c:v>
                </c:pt>
                <c:pt idx="217" formatCode="0.0">
                  <c:v>108.5</c:v>
                </c:pt>
                <c:pt idx="218" formatCode="0.0">
                  <c:v>109</c:v>
                </c:pt>
                <c:pt idx="219" formatCode="0.0">
                  <c:v>109.5</c:v>
                </c:pt>
                <c:pt idx="220" formatCode="0.0">
                  <c:v>110</c:v>
                </c:pt>
                <c:pt idx="221" formatCode="0.0">
                  <c:v>110.5</c:v>
                </c:pt>
                <c:pt idx="222" formatCode="0.0">
                  <c:v>111</c:v>
                </c:pt>
                <c:pt idx="223" formatCode="0.0">
                  <c:v>111.5</c:v>
                </c:pt>
                <c:pt idx="224" formatCode="0.0">
                  <c:v>112</c:v>
                </c:pt>
                <c:pt idx="225" formatCode="0.0">
                  <c:v>112.5</c:v>
                </c:pt>
                <c:pt idx="226" formatCode="0.0">
                  <c:v>113</c:v>
                </c:pt>
                <c:pt idx="227" formatCode="0.0">
                  <c:v>113.5</c:v>
                </c:pt>
                <c:pt idx="228" formatCode="0.0">
                  <c:v>114</c:v>
                </c:pt>
                <c:pt idx="229" formatCode="0.0">
                  <c:v>114.5</c:v>
                </c:pt>
                <c:pt idx="230" formatCode="0.0">
                  <c:v>115</c:v>
                </c:pt>
                <c:pt idx="231" formatCode="0.0">
                  <c:v>115.5</c:v>
                </c:pt>
                <c:pt idx="232" formatCode="0.0">
                  <c:v>116</c:v>
                </c:pt>
                <c:pt idx="233" formatCode="0.0">
                  <c:v>116.5</c:v>
                </c:pt>
                <c:pt idx="234" formatCode="0.0">
                  <c:v>117</c:v>
                </c:pt>
                <c:pt idx="235" formatCode="0.0">
                  <c:v>117.5</c:v>
                </c:pt>
                <c:pt idx="236" formatCode="0.0">
                  <c:v>118</c:v>
                </c:pt>
                <c:pt idx="237" formatCode="0.0">
                  <c:v>118.5</c:v>
                </c:pt>
                <c:pt idx="238" formatCode="0.0">
                  <c:v>119</c:v>
                </c:pt>
                <c:pt idx="239" formatCode="0.0">
                  <c:v>119.5</c:v>
                </c:pt>
                <c:pt idx="240" formatCode="0.0">
                  <c:v>120</c:v>
                </c:pt>
              </c:numCache>
            </c:numRef>
          </c:xVal>
          <c:yVal>
            <c:numRef>
              <c:f>Berechnung_Retention!$G$33:$G$273</c:f>
              <c:numCache>
                <c:formatCode>0.0</c:formatCode>
                <c:ptCount val="2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numCache>
            </c:numRef>
          </c:yVal>
          <c:smooth val="0"/>
          <c:extLst>
            <c:ext xmlns:c16="http://schemas.microsoft.com/office/drawing/2014/chart" uri="{C3380CC4-5D6E-409C-BE32-E72D297353CC}">
              <c16:uniqueId val="{00000001-4E42-44F8-A2D7-62B5634EC55A}"/>
            </c:ext>
          </c:extLst>
        </c:ser>
        <c:ser>
          <c:idx val="1"/>
          <c:order val="2"/>
          <c:tx>
            <c:strRef>
              <c:f>Berechnung_Retention!$H$31:$H$32</c:f>
              <c:strCache>
                <c:ptCount val="2"/>
                <c:pt idx="0">
                  <c:v>ableitbares Q</c:v>
                </c:pt>
                <c:pt idx="1">
                  <c:v>m3</c:v>
                </c:pt>
              </c:strCache>
            </c:strRef>
          </c:tx>
          <c:spPr>
            <a:ln w="19050">
              <a:solidFill>
                <a:srgbClr val="00B0F0"/>
              </a:solidFill>
            </a:ln>
          </c:spPr>
          <c:marker>
            <c:symbol val="none"/>
          </c:marker>
          <c:xVal>
            <c:numRef>
              <c:f>Berechnung_Retention!$B$33:$B$273</c:f>
              <c:numCache>
                <c:formatCode>General</c:formatCode>
                <c:ptCount val="241"/>
                <c:pt idx="0">
                  <c:v>0</c:v>
                </c:pt>
                <c:pt idx="1">
                  <c:v>0.5</c:v>
                </c:pt>
                <c:pt idx="2" formatCode="0.0">
                  <c:v>1</c:v>
                </c:pt>
                <c:pt idx="3" formatCode="0.0">
                  <c:v>1.5</c:v>
                </c:pt>
                <c:pt idx="4" formatCode="0.0">
                  <c:v>2</c:v>
                </c:pt>
                <c:pt idx="5" formatCode="0.0">
                  <c:v>2.5</c:v>
                </c:pt>
                <c:pt idx="6" formatCode="0.0">
                  <c:v>3</c:v>
                </c:pt>
                <c:pt idx="7" formatCode="0.0">
                  <c:v>3.5</c:v>
                </c:pt>
                <c:pt idx="8" formatCode="0.0">
                  <c:v>4</c:v>
                </c:pt>
                <c:pt idx="9" formatCode="0.0">
                  <c:v>4.5</c:v>
                </c:pt>
                <c:pt idx="10" formatCode="0.0">
                  <c:v>5</c:v>
                </c:pt>
                <c:pt idx="11" formatCode="0.0">
                  <c:v>5.5</c:v>
                </c:pt>
                <c:pt idx="12" formatCode="0.0">
                  <c:v>6</c:v>
                </c:pt>
                <c:pt idx="13" formatCode="0.0">
                  <c:v>6.5</c:v>
                </c:pt>
                <c:pt idx="14" formatCode="0.0">
                  <c:v>7</c:v>
                </c:pt>
                <c:pt idx="15" formatCode="0.0">
                  <c:v>7.5</c:v>
                </c:pt>
                <c:pt idx="16" formatCode="0.0">
                  <c:v>8</c:v>
                </c:pt>
                <c:pt idx="17" formatCode="0.0">
                  <c:v>8.5</c:v>
                </c:pt>
                <c:pt idx="18" formatCode="0.0">
                  <c:v>9</c:v>
                </c:pt>
                <c:pt idx="19" formatCode="0.0">
                  <c:v>9.5</c:v>
                </c:pt>
                <c:pt idx="20" formatCode="0.0">
                  <c:v>10</c:v>
                </c:pt>
                <c:pt idx="21" formatCode="0.0">
                  <c:v>10.5</c:v>
                </c:pt>
                <c:pt idx="22" formatCode="0.0">
                  <c:v>11</c:v>
                </c:pt>
                <c:pt idx="23" formatCode="0.0">
                  <c:v>11.5</c:v>
                </c:pt>
                <c:pt idx="24" formatCode="0.0">
                  <c:v>12</c:v>
                </c:pt>
                <c:pt idx="25" formatCode="0.0">
                  <c:v>12.5</c:v>
                </c:pt>
                <c:pt idx="26" formatCode="0.0">
                  <c:v>13</c:v>
                </c:pt>
                <c:pt idx="27" formatCode="0.0">
                  <c:v>13.5</c:v>
                </c:pt>
                <c:pt idx="28" formatCode="0.0">
                  <c:v>14</c:v>
                </c:pt>
                <c:pt idx="29" formatCode="0.0">
                  <c:v>14.5</c:v>
                </c:pt>
                <c:pt idx="30" formatCode="0.0">
                  <c:v>15</c:v>
                </c:pt>
                <c:pt idx="31" formatCode="0.0">
                  <c:v>15.5</c:v>
                </c:pt>
                <c:pt idx="32" formatCode="0.0">
                  <c:v>16</c:v>
                </c:pt>
                <c:pt idx="33" formatCode="0.0">
                  <c:v>16.5</c:v>
                </c:pt>
                <c:pt idx="34" formatCode="0.0">
                  <c:v>17</c:v>
                </c:pt>
                <c:pt idx="35" formatCode="0.0">
                  <c:v>17.5</c:v>
                </c:pt>
                <c:pt idx="36" formatCode="0.0">
                  <c:v>18</c:v>
                </c:pt>
                <c:pt idx="37" formatCode="0.0">
                  <c:v>18.5</c:v>
                </c:pt>
                <c:pt idx="38" formatCode="0.0">
                  <c:v>19</c:v>
                </c:pt>
                <c:pt idx="39" formatCode="0.0">
                  <c:v>19.5</c:v>
                </c:pt>
                <c:pt idx="40" formatCode="0.0">
                  <c:v>20</c:v>
                </c:pt>
                <c:pt idx="41" formatCode="0.0">
                  <c:v>20.5</c:v>
                </c:pt>
                <c:pt idx="42" formatCode="0.0">
                  <c:v>21</c:v>
                </c:pt>
                <c:pt idx="43" formatCode="0.0">
                  <c:v>21.5</c:v>
                </c:pt>
                <c:pt idx="44" formatCode="0.0">
                  <c:v>22</c:v>
                </c:pt>
                <c:pt idx="45" formatCode="0.0">
                  <c:v>22.5</c:v>
                </c:pt>
                <c:pt idx="46" formatCode="0.0">
                  <c:v>23</c:v>
                </c:pt>
                <c:pt idx="47" formatCode="0.0">
                  <c:v>23.5</c:v>
                </c:pt>
                <c:pt idx="48" formatCode="0.0">
                  <c:v>24</c:v>
                </c:pt>
                <c:pt idx="49" formatCode="0.0">
                  <c:v>24.5</c:v>
                </c:pt>
                <c:pt idx="50" formatCode="0.0">
                  <c:v>25</c:v>
                </c:pt>
                <c:pt idx="51" formatCode="0.0">
                  <c:v>25.5</c:v>
                </c:pt>
                <c:pt idx="52" formatCode="0.0">
                  <c:v>26</c:v>
                </c:pt>
                <c:pt idx="53" formatCode="0.0">
                  <c:v>26.5</c:v>
                </c:pt>
                <c:pt idx="54" formatCode="0.0">
                  <c:v>27</c:v>
                </c:pt>
                <c:pt idx="55" formatCode="0.0">
                  <c:v>27.5</c:v>
                </c:pt>
                <c:pt idx="56" formatCode="0.0">
                  <c:v>28</c:v>
                </c:pt>
                <c:pt idx="57" formatCode="0.0">
                  <c:v>28.5</c:v>
                </c:pt>
                <c:pt idx="58" formatCode="0.0">
                  <c:v>29</c:v>
                </c:pt>
                <c:pt idx="59" formatCode="0.0">
                  <c:v>29.5</c:v>
                </c:pt>
                <c:pt idx="60" formatCode="0.0">
                  <c:v>30</c:v>
                </c:pt>
                <c:pt idx="61" formatCode="0.0">
                  <c:v>30.5</c:v>
                </c:pt>
                <c:pt idx="62" formatCode="0.0">
                  <c:v>31</c:v>
                </c:pt>
                <c:pt idx="63" formatCode="0.0">
                  <c:v>31.5</c:v>
                </c:pt>
                <c:pt idx="64" formatCode="0.0">
                  <c:v>32</c:v>
                </c:pt>
                <c:pt idx="65" formatCode="0.0">
                  <c:v>32.5</c:v>
                </c:pt>
                <c:pt idx="66" formatCode="0.0">
                  <c:v>33</c:v>
                </c:pt>
                <c:pt idx="67" formatCode="0.0">
                  <c:v>33.5</c:v>
                </c:pt>
                <c:pt idx="68" formatCode="0.0">
                  <c:v>34</c:v>
                </c:pt>
                <c:pt idx="69" formatCode="0.0">
                  <c:v>34.5</c:v>
                </c:pt>
                <c:pt idx="70" formatCode="0.0">
                  <c:v>35</c:v>
                </c:pt>
                <c:pt idx="71" formatCode="0.0">
                  <c:v>35.5</c:v>
                </c:pt>
                <c:pt idx="72" formatCode="0.0">
                  <c:v>36</c:v>
                </c:pt>
                <c:pt idx="73" formatCode="0.0">
                  <c:v>36.5</c:v>
                </c:pt>
                <c:pt idx="74" formatCode="0.0">
                  <c:v>37</c:v>
                </c:pt>
                <c:pt idx="75" formatCode="0.0">
                  <c:v>37.5</c:v>
                </c:pt>
                <c:pt idx="76" formatCode="0.0">
                  <c:v>38</c:v>
                </c:pt>
                <c:pt idx="77" formatCode="0.0">
                  <c:v>38.5</c:v>
                </c:pt>
                <c:pt idx="78" formatCode="0.0">
                  <c:v>39</c:v>
                </c:pt>
                <c:pt idx="79" formatCode="0.0">
                  <c:v>39.5</c:v>
                </c:pt>
                <c:pt idx="80" formatCode="0.0">
                  <c:v>40</c:v>
                </c:pt>
                <c:pt idx="81" formatCode="0.0">
                  <c:v>40.5</c:v>
                </c:pt>
                <c:pt idx="82" formatCode="0.0">
                  <c:v>41</c:v>
                </c:pt>
                <c:pt idx="83" formatCode="0.0">
                  <c:v>41.5</c:v>
                </c:pt>
                <c:pt idx="84" formatCode="0.0">
                  <c:v>42</c:v>
                </c:pt>
                <c:pt idx="85" formatCode="0.0">
                  <c:v>42.5</c:v>
                </c:pt>
                <c:pt idx="86" formatCode="0.0">
                  <c:v>43</c:v>
                </c:pt>
                <c:pt idx="87" formatCode="0.0">
                  <c:v>43.5</c:v>
                </c:pt>
                <c:pt idx="88" formatCode="0.0">
                  <c:v>44</c:v>
                </c:pt>
                <c:pt idx="89" formatCode="0.0">
                  <c:v>44.5</c:v>
                </c:pt>
                <c:pt idx="90" formatCode="0.0">
                  <c:v>45</c:v>
                </c:pt>
                <c:pt idx="91" formatCode="0.0">
                  <c:v>45.5</c:v>
                </c:pt>
                <c:pt idx="92" formatCode="0.0">
                  <c:v>46</c:v>
                </c:pt>
                <c:pt idx="93" formatCode="0.0">
                  <c:v>46.5</c:v>
                </c:pt>
                <c:pt idx="94" formatCode="0.0">
                  <c:v>47</c:v>
                </c:pt>
                <c:pt idx="95" formatCode="0.0">
                  <c:v>47.5</c:v>
                </c:pt>
                <c:pt idx="96" formatCode="0.0">
                  <c:v>48</c:v>
                </c:pt>
                <c:pt idx="97" formatCode="0.0">
                  <c:v>48.5</c:v>
                </c:pt>
                <c:pt idx="98" formatCode="0.0">
                  <c:v>49</c:v>
                </c:pt>
                <c:pt idx="99" formatCode="0.0">
                  <c:v>49.5</c:v>
                </c:pt>
                <c:pt idx="100" formatCode="0.0">
                  <c:v>50</c:v>
                </c:pt>
                <c:pt idx="101" formatCode="0.0">
                  <c:v>50.5</c:v>
                </c:pt>
                <c:pt idx="102" formatCode="0.0">
                  <c:v>51</c:v>
                </c:pt>
                <c:pt idx="103" formatCode="0.0">
                  <c:v>51.5</c:v>
                </c:pt>
                <c:pt idx="104" formatCode="0.0">
                  <c:v>52</c:v>
                </c:pt>
                <c:pt idx="105" formatCode="0.0">
                  <c:v>52.5</c:v>
                </c:pt>
                <c:pt idx="106" formatCode="0.0">
                  <c:v>53</c:v>
                </c:pt>
                <c:pt idx="107" formatCode="0.0">
                  <c:v>53.5</c:v>
                </c:pt>
                <c:pt idx="108" formatCode="0.0">
                  <c:v>54</c:v>
                </c:pt>
                <c:pt idx="109" formatCode="0.0">
                  <c:v>54.5</c:v>
                </c:pt>
                <c:pt idx="110" formatCode="0.0">
                  <c:v>55</c:v>
                </c:pt>
                <c:pt idx="111" formatCode="0.0">
                  <c:v>55.5</c:v>
                </c:pt>
                <c:pt idx="112" formatCode="0.0">
                  <c:v>56</c:v>
                </c:pt>
                <c:pt idx="113" formatCode="0.0">
                  <c:v>56.5</c:v>
                </c:pt>
                <c:pt idx="114" formatCode="0.0">
                  <c:v>57</c:v>
                </c:pt>
                <c:pt idx="115" formatCode="0.0">
                  <c:v>57.5</c:v>
                </c:pt>
                <c:pt idx="116" formatCode="0.0">
                  <c:v>58</c:v>
                </c:pt>
                <c:pt idx="117" formatCode="0.0">
                  <c:v>58.5</c:v>
                </c:pt>
                <c:pt idx="118" formatCode="0.0">
                  <c:v>59</c:v>
                </c:pt>
                <c:pt idx="119" formatCode="0.0">
                  <c:v>59.5</c:v>
                </c:pt>
                <c:pt idx="120" formatCode="0.0">
                  <c:v>60</c:v>
                </c:pt>
                <c:pt idx="121" formatCode="0.0">
                  <c:v>60.5</c:v>
                </c:pt>
                <c:pt idx="122" formatCode="0.0">
                  <c:v>61</c:v>
                </c:pt>
                <c:pt idx="123" formatCode="0.0">
                  <c:v>61.5</c:v>
                </c:pt>
                <c:pt idx="124" formatCode="0.0">
                  <c:v>62</c:v>
                </c:pt>
                <c:pt idx="125" formatCode="0.0">
                  <c:v>62.5</c:v>
                </c:pt>
                <c:pt idx="126" formatCode="0.0">
                  <c:v>63</c:v>
                </c:pt>
                <c:pt idx="127" formatCode="0.0">
                  <c:v>63.5</c:v>
                </c:pt>
                <c:pt idx="128" formatCode="0.0">
                  <c:v>64</c:v>
                </c:pt>
                <c:pt idx="129" formatCode="0.0">
                  <c:v>64.5</c:v>
                </c:pt>
                <c:pt idx="130" formatCode="0.0">
                  <c:v>65</c:v>
                </c:pt>
                <c:pt idx="131" formatCode="0.0">
                  <c:v>65.5</c:v>
                </c:pt>
                <c:pt idx="132" formatCode="0.0">
                  <c:v>66</c:v>
                </c:pt>
                <c:pt idx="133" formatCode="0.0">
                  <c:v>66.5</c:v>
                </c:pt>
                <c:pt idx="134" formatCode="0.0">
                  <c:v>67</c:v>
                </c:pt>
                <c:pt idx="135" formatCode="0.0">
                  <c:v>67.5</c:v>
                </c:pt>
                <c:pt idx="136" formatCode="0.0">
                  <c:v>68</c:v>
                </c:pt>
                <c:pt idx="137" formatCode="0.0">
                  <c:v>68.5</c:v>
                </c:pt>
                <c:pt idx="138" formatCode="0.0">
                  <c:v>69</c:v>
                </c:pt>
                <c:pt idx="139" formatCode="0.0">
                  <c:v>69.5</c:v>
                </c:pt>
                <c:pt idx="140" formatCode="0.0">
                  <c:v>70</c:v>
                </c:pt>
                <c:pt idx="141" formatCode="0.0">
                  <c:v>70.5</c:v>
                </c:pt>
                <c:pt idx="142" formatCode="0.0">
                  <c:v>71</c:v>
                </c:pt>
                <c:pt idx="143" formatCode="0.0">
                  <c:v>71.5</c:v>
                </c:pt>
                <c:pt idx="144" formatCode="0.0">
                  <c:v>72</c:v>
                </c:pt>
                <c:pt idx="145" formatCode="0.0">
                  <c:v>72.5</c:v>
                </c:pt>
                <c:pt idx="146" formatCode="0.0">
                  <c:v>73</c:v>
                </c:pt>
                <c:pt idx="147" formatCode="0.0">
                  <c:v>73.5</c:v>
                </c:pt>
                <c:pt idx="148" formatCode="0.0">
                  <c:v>74</c:v>
                </c:pt>
                <c:pt idx="149" formatCode="0.0">
                  <c:v>74.5</c:v>
                </c:pt>
                <c:pt idx="150" formatCode="0.0">
                  <c:v>75</c:v>
                </c:pt>
                <c:pt idx="151" formatCode="0.0">
                  <c:v>75.5</c:v>
                </c:pt>
                <c:pt idx="152" formatCode="0.0">
                  <c:v>76</c:v>
                </c:pt>
                <c:pt idx="153" formatCode="0.0">
                  <c:v>76.5</c:v>
                </c:pt>
                <c:pt idx="154" formatCode="0.0">
                  <c:v>77</c:v>
                </c:pt>
                <c:pt idx="155" formatCode="0.0">
                  <c:v>77.5</c:v>
                </c:pt>
                <c:pt idx="156" formatCode="0.0">
                  <c:v>78</c:v>
                </c:pt>
                <c:pt idx="157" formatCode="0.0">
                  <c:v>78.5</c:v>
                </c:pt>
                <c:pt idx="158" formatCode="0.0">
                  <c:v>79</c:v>
                </c:pt>
                <c:pt idx="159" formatCode="0.0">
                  <c:v>79.5</c:v>
                </c:pt>
                <c:pt idx="160" formatCode="0.0">
                  <c:v>80</c:v>
                </c:pt>
                <c:pt idx="161" formatCode="0.0">
                  <c:v>80.5</c:v>
                </c:pt>
                <c:pt idx="162" formatCode="0.0">
                  <c:v>81</c:v>
                </c:pt>
                <c:pt idx="163" formatCode="0.0">
                  <c:v>81.5</c:v>
                </c:pt>
                <c:pt idx="164" formatCode="0.0">
                  <c:v>82</c:v>
                </c:pt>
                <c:pt idx="165" formatCode="0.0">
                  <c:v>82.5</c:v>
                </c:pt>
                <c:pt idx="166" formatCode="0.0">
                  <c:v>83</c:v>
                </c:pt>
                <c:pt idx="167" formatCode="0.0">
                  <c:v>83.5</c:v>
                </c:pt>
                <c:pt idx="168" formatCode="0.0">
                  <c:v>84</c:v>
                </c:pt>
                <c:pt idx="169" formatCode="0.0">
                  <c:v>84.5</c:v>
                </c:pt>
                <c:pt idx="170" formatCode="0.0">
                  <c:v>85</c:v>
                </c:pt>
                <c:pt idx="171" formatCode="0.0">
                  <c:v>85.5</c:v>
                </c:pt>
                <c:pt idx="172" formatCode="0.0">
                  <c:v>86</c:v>
                </c:pt>
                <c:pt idx="173" formatCode="0.0">
                  <c:v>86.5</c:v>
                </c:pt>
                <c:pt idx="174" formatCode="0.0">
                  <c:v>87</c:v>
                </c:pt>
                <c:pt idx="175" formatCode="0.0">
                  <c:v>87.5</c:v>
                </c:pt>
                <c:pt idx="176" formatCode="0.0">
                  <c:v>88</c:v>
                </c:pt>
                <c:pt idx="177" formatCode="0.0">
                  <c:v>88.5</c:v>
                </c:pt>
                <c:pt idx="178" formatCode="0.0">
                  <c:v>89</c:v>
                </c:pt>
                <c:pt idx="179" formatCode="0.0">
                  <c:v>89.5</c:v>
                </c:pt>
                <c:pt idx="180" formatCode="0.0">
                  <c:v>90</c:v>
                </c:pt>
                <c:pt idx="181" formatCode="0.0">
                  <c:v>90.5</c:v>
                </c:pt>
                <c:pt idx="182" formatCode="0.0">
                  <c:v>91</c:v>
                </c:pt>
                <c:pt idx="183" formatCode="0.0">
                  <c:v>91.5</c:v>
                </c:pt>
                <c:pt idx="184" formatCode="0.0">
                  <c:v>92</c:v>
                </c:pt>
                <c:pt idx="185" formatCode="0.0">
                  <c:v>92.5</c:v>
                </c:pt>
                <c:pt idx="186" formatCode="0.0">
                  <c:v>93</c:v>
                </c:pt>
                <c:pt idx="187" formatCode="0.0">
                  <c:v>93.5</c:v>
                </c:pt>
                <c:pt idx="188" formatCode="0.0">
                  <c:v>94</c:v>
                </c:pt>
                <c:pt idx="189" formatCode="0.0">
                  <c:v>94.5</c:v>
                </c:pt>
                <c:pt idx="190" formatCode="0.0">
                  <c:v>95</c:v>
                </c:pt>
                <c:pt idx="191" formatCode="0.0">
                  <c:v>95.5</c:v>
                </c:pt>
                <c:pt idx="192" formatCode="0.0">
                  <c:v>96</c:v>
                </c:pt>
                <c:pt idx="193" formatCode="0.0">
                  <c:v>96.5</c:v>
                </c:pt>
                <c:pt idx="194" formatCode="0.0">
                  <c:v>97</c:v>
                </c:pt>
                <c:pt idx="195" formatCode="0.0">
                  <c:v>97.5</c:v>
                </c:pt>
                <c:pt idx="196" formatCode="0.0">
                  <c:v>98</c:v>
                </c:pt>
                <c:pt idx="197" formatCode="0.0">
                  <c:v>98.5</c:v>
                </c:pt>
                <c:pt idx="198" formatCode="0.0">
                  <c:v>99</c:v>
                </c:pt>
                <c:pt idx="199" formatCode="0.0">
                  <c:v>99.5</c:v>
                </c:pt>
                <c:pt idx="200" formatCode="0.0">
                  <c:v>100</c:v>
                </c:pt>
                <c:pt idx="201" formatCode="0.0">
                  <c:v>100.5</c:v>
                </c:pt>
                <c:pt idx="202" formatCode="0.0">
                  <c:v>101</c:v>
                </c:pt>
                <c:pt idx="203" formatCode="0.0">
                  <c:v>101.5</c:v>
                </c:pt>
                <c:pt idx="204" formatCode="0.0">
                  <c:v>102</c:v>
                </c:pt>
                <c:pt idx="205" formatCode="0.0">
                  <c:v>102.5</c:v>
                </c:pt>
                <c:pt idx="206" formatCode="0.0">
                  <c:v>103</c:v>
                </c:pt>
                <c:pt idx="207" formatCode="0.0">
                  <c:v>103.5</c:v>
                </c:pt>
                <c:pt idx="208" formatCode="0.0">
                  <c:v>104</c:v>
                </c:pt>
                <c:pt idx="209" formatCode="0.0">
                  <c:v>104.5</c:v>
                </c:pt>
                <c:pt idx="210" formatCode="0.0">
                  <c:v>105</c:v>
                </c:pt>
                <c:pt idx="211" formatCode="0.0">
                  <c:v>105.5</c:v>
                </c:pt>
                <c:pt idx="212" formatCode="0.0">
                  <c:v>106</c:v>
                </c:pt>
                <c:pt idx="213" formatCode="0.0">
                  <c:v>106.5</c:v>
                </c:pt>
                <c:pt idx="214" formatCode="0.0">
                  <c:v>107</c:v>
                </c:pt>
                <c:pt idx="215" formatCode="0.0">
                  <c:v>107.5</c:v>
                </c:pt>
                <c:pt idx="216" formatCode="0.0">
                  <c:v>108</c:v>
                </c:pt>
                <c:pt idx="217" formatCode="0.0">
                  <c:v>108.5</c:v>
                </c:pt>
                <c:pt idx="218" formatCode="0.0">
                  <c:v>109</c:v>
                </c:pt>
                <c:pt idx="219" formatCode="0.0">
                  <c:v>109.5</c:v>
                </c:pt>
                <c:pt idx="220" formatCode="0.0">
                  <c:v>110</c:v>
                </c:pt>
                <c:pt idx="221" formatCode="0.0">
                  <c:v>110.5</c:v>
                </c:pt>
                <c:pt idx="222" formatCode="0.0">
                  <c:v>111</c:v>
                </c:pt>
                <c:pt idx="223" formatCode="0.0">
                  <c:v>111.5</c:v>
                </c:pt>
                <c:pt idx="224" formatCode="0.0">
                  <c:v>112</c:v>
                </c:pt>
                <c:pt idx="225" formatCode="0.0">
                  <c:v>112.5</c:v>
                </c:pt>
                <c:pt idx="226" formatCode="0.0">
                  <c:v>113</c:v>
                </c:pt>
                <c:pt idx="227" formatCode="0.0">
                  <c:v>113.5</c:v>
                </c:pt>
                <c:pt idx="228" formatCode="0.0">
                  <c:v>114</c:v>
                </c:pt>
                <c:pt idx="229" formatCode="0.0">
                  <c:v>114.5</c:v>
                </c:pt>
                <c:pt idx="230" formatCode="0.0">
                  <c:v>115</c:v>
                </c:pt>
                <c:pt idx="231" formatCode="0.0">
                  <c:v>115.5</c:v>
                </c:pt>
                <c:pt idx="232" formatCode="0.0">
                  <c:v>116</c:v>
                </c:pt>
                <c:pt idx="233" formatCode="0.0">
                  <c:v>116.5</c:v>
                </c:pt>
                <c:pt idx="234" formatCode="0.0">
                  <c:v>117</c:v>
                </c:pt>
                <c:pt idx="235" formatCode="0.0">
                  <c:v>117.5</c:v>
                </c:pt>
                <c:pt idx="236" formatCode="0.0">
                  <c:v>118</c:v>
                </c:pt>
                <c:pt idx="237" formatCode="0.0">
                  <c:v>118.5</c:v>
                </c:pt>
                <c:pt idx="238" formatCode="0.0">
                  <c:v>119</c:v>
                </c:pt>
                <c:pt idx="239" formatCode="0.0">
                  <c:v>119.5</c:v>
                </c:pt>
                <c:pt idx="240" formatCode="0.0">
                  <c:v>120</c:v>
                </c:pt>
              </c:numCache>
            </c:numRef>
          </c:xVal>
          <c:yVal>
            <c:numRef>
              <c:f>Berechnung_Retention!$H$33:$H$273</c:f>
              <c:numCache>
                <c:formatCode>0.0</c:formatCode>
                <c:ptCount val="2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numCache>
            </c:numRef>
          </c:yVal>
          <c:smooth val="0"/>
          <c:extLst>
            <c:ext xmlns:c16="http://schemas.microsoft.com/office/drawing/2014/chart" uri="{C3380CC4-5D6E-409C-BE32-E72D297353CC}">
              <c16:uniqueId val="{00000002-4E42-44F8-A2D7-62B5634EC55A}"/>
            </c:ext>
          </c:extLst>
        </c:ser>
        <c:ser>
          <c:idx val="3"/>
          <c:order val="3"/>
          <c:tx>
            <c:strRef>
              <c:f>Berechnung_Retention!$H$30</c:f>
              <c:strCache>
                <c:ptCount val="1"/>
                <c:pt idx="0">
                  <c:v>erforderliches Ret. Volumen</c:v>
                </c:pt>
              </c:strCache>
            </c:strRef>
          </c:tx>
          <c:spPr>
            <a:ln>
              <a:noFill/>
            </a:ln>
          </c:spPr>
          <c:marker>
            <c:symbol val="triangle"/>
            <c:size val="10"/>
            <c:spPr>
              <a:solidFill>
                <a:srgbClr val="FF0000"/>
              </a:solidFill>
            </c:spPr>
          </c:marker>
          <c:xVal>
            <c:numRef>
              <c:f>Berechnung_Retention!$B$30</c:f>
              <c:numCache>
                <c:formatCode>0.0</c:formatCode>
                <c:ptCount val="1"/>
                <c:pt idx="0">
                  <c:v>0</c:v>
                </c:pt>
              </c:numCache>
            </c:numRef>
          </c:xVal>
          <c:yVal>
            <c:numRef>
              <c:f>Berechnung_Retention!$I$30</c:f>
              <c:numCache>
                <c:formatCode>0.0</c:formatCode>
                <c:ptCount val="1"/>
                <c:pt idx="0">
                  <c:v>0</c:v>
                </c:pt>
              </c:numCache>
            </c:numRef>
          </c:yVal>
          <c:smooth val="0"/>
          <c:extLst>
            <c:ext xmlns:c16="http://schemas.microsoft.com/office/drawing/2014/chart" uri="{C3380CC4-5D6E-409C-BE32-E72D297353CC}">
              <c16:uniqueId val="{00000003-4E42-44F8-A2D7-62B5634EC55A}"/>
            </c:ext>
          </c:extLst>
        </c:ser>
        <c:dLbls>
          <c:showLegendKey val="0"/>
          <c:showVal val="0"/>
          <c:showCatName val="0"/>
          <c:showSerName val="0"/>
          <c:showPercent val="0"/>
          <c:showBubbleSize val="0"/>
        </c:dLbls>
        <c:axId val="195561120"/>
        <c:axId val="195554848"/>
      </c:scatterChart>
      <c:valAx>
        <c:axId val="195561120"/>
        <c:scaling>
          <c:orientation val="minMax"/>
          <c:max val="120"/>
          <c:min val="0"/>
        </c:scaling>
        <c:delete val="0"/>
        <c:axPos val="b"/>
        <c:majorGridlines/>
        <c:title>
          <c:tx>
            <c:rich>
              <a:bodyPr/>
              <a:lstStyle/>
              <a:p>
                <a:pPr>
                  <a:defRPr/>
                </a:pPr>
                <a:r>
                  <a:rPr lang="en-US"/>
                  <a:t>Regendauer Minuten</a:t>
                </a:r>
              </a:p>
            </c:rich>
          </c:tx>
          <c:overlay val="0"/>
        </c:title>
        <c:numFmt formatCode="#,##0" sourceLinked="0"/>
        <c:majorTickMark val="out"/>
        <c:minorTickMark val="out"/>
        <c:tickLblPos val="nextTo"/>
        <c:crossAx val="195554848"/>
        <c:crosses val="autoZero"/>
        <c:crossBetween val="midCat"/>
        <c:majorUnit val="10"/>
        <c:minorUnit val="5"/>
      </c:valAx>
      <c:valAx>
        <c:axId val="195554848"/>
        <c:scaling>
          <c:orientation val="minMax"/>
          <c:min val="0"/>
        </c:scaling>
        <c:delete val="0"/>
        <c:axPos val="l"/>
        <c:majorGridlines/>
        <c:title>
          <c:tx>
            <c:rich>
              <a:bodyPr rot="-5400000" vert="horz"/>
              <a:lstStyle/>
              <a:p>
                <a:pPr>
                  <a:defRPr/>
                </a:pPr>
                <a:r>
                  <a:rPr lang="en-US"/>
                  <a:t>Volumen m3</a:t>
                </a:r>
              </a:p>
            </c:rich>
          </c:tx>
          <c:overlay val="0"/>
        </c:title>
        <c:numFmt formatCode="0" sourceLinked="0"/>
        <c:majorTickMark val="out"/>
        <c:minorTickMark val="none"/>
        <c:tickLblPos val="nextTo"/>
        <c:crossAx val="195561120"/>
        <c:crosses val="autoZero"/>
        <c:crossBetween val="midCat"/>
      </c:valAx>
    </c:plotArea>
    <c:legend>
      <c:legendPos val="b"/>
      <c:overlay val="0"/>
      <c:txPr>
        <a:bodyPr/>
        <a:lstStyle/>
        <a:p>
          <a:pPr>
            <a:defRPr sz="900"/>
          </a:pPr>
          <a:endParaRPr lang="de-DE"/>
        </a:p>
      </c:txPr>
    </c:legend>
    <c:plotVisOnly val="0"/>
    <c:dispBlanksAs val="gap"/>
    <c:showDLblsOverMax val="0"/>
  </c:chart>
  <c:spPr>
    <a:solidFill>
      <a:schemeClr val="bg1">
        <a:lumMod val="85000"/>
      </a:schemeClr>
    </a:solidFill>
    <a:ln w="19050"/>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Versickerungsvolumen</a:t>
            </a:r>
          </a:p>
        </c:rich>
      </c:tx>
      <c:overlay val="0"/>
    </c:title>
    <c:autoTitleDeleted val="0"/>
    <c:plotArea>
      <c:layout>
        <c:manualLayout>
          <c:layoutTarget val="inner"/>
          <c:xMode val="edge"/>
          <c:yMode val="edge"/>
          <c:x val="0.16568528933883264"/>
          <c:y val="0.1647736819330145"/>
          <c:w val="0.78329883764529429"/>
          <c:h val="0.43406710752992672"/>
        </c:manualLayout>
      </c:layout>
      <c:scatterChart>
        <c:scatterStyle val="lineMarker"/>
        <c:varyColors val="0"/>
        <c:ser>
          <c:idx val="2"/>
          <c:order val="0"/>
          <c:tx>
            <c:strRef>
              <c:f>Berechnung_Versickerung!$I$31:$I$32</c:f>
              <c:strCache>
                <c:ptCount val="2"/>
                <c:pt idx="0">
                  <c:v>Vers. Volumen</c:v>
                </c:pt>
                <c:pt idx="1">
                  <c:v>m3</c:v>
                </c:pt>
              </c:strCache>
            </c:strRef>
          </c:tx>
          <c:spPr>
            <a:ln w="19050">
              <a:solidFill>
                <a:srgbClr val="FFC000"/>
              </a:solidFill>
            </a:ln>
          </c:spPr>
          <c:marker>
            <c:symbol val="none"/>
          </c:marker>
          <c:xVal>
            <c:numRef>
              <c:f>Berechnung_Versickerung!$B$33:$B$273</c:f>
              <c:numCache>
                <c:formatCode>General</c:formatCode>
                <c:ptCount val="241"/>
                <c:pt idx="0">
                  <c:v>0</c:v>
                </c:pt>
                <c:pt idx="1">
                  <c:v>0.5</c:v>
                </c:pt>
                <c:pt idx="2" formatCode="0.0">
                  <c:v>1</c:v>
                </c:pt>
                <c:pt idx="3" formatCode="0.0">
                  <c:v>1.5</c:v>
                </c:pt>
                <c:pt idx="4" formatCode="0.0">
                  <c:v>2</c:v>
                </c:pt>
                <c:pt idx="5" formatCode="0.0">
                  <c:v>2.5</c:v>
                </c:pt>
                <c:pt idx="6" formatCode="0.0">
                  <c:v>3</c:v>
                </c:pt>
                <c:pt idx="7" formatCode="0.0">
                  <c:v>3.5</c:v>
                </c:pt>
                <c:pt idx="8" formatCode="0.0">
                  <c:v>4</c:v>
                </c:pt>
                <c:pt idx="9" formatCode="0.0">
                  <c:v>4.5</c:v>
                </c:pt>
                <c:pt idx="10" formatCode="0.0">
                  <c:v>5</c:v>
                </c:pt>
                <c:pt idx="11" formatCode="0.0">
                  <c:v>5.5</c:v>
                </c:pt>
                <c:pt idx="12" formatCode="0.0">
                  <c:v>6</c:v>
                </c:pt>
                <c:pt idx="13" formatCode="0.0">
                  <c:v>6.5</c:v>
                </c:pt>
                <c:pt idx="14" formatCode="0.0">
                  <c:v>7</c:v>
                </c:pt>
                <c:pt idx="15" formatCode="0.0">
                  <c:v>7.5</c:v>
                </c:pt>
                <c:pt idx="16" formatCode="0.0">
                  <c:v>8</c:v>
                </c:pt>
                <c:pt idx="17" formatCode="0.0">
                  <c:v>8.5</c:v>
                </c:pt>
                <c:pt idx="18" formatCode="0.0">
                  <c:v>9</c:v>
                </c:pt>
                <c:pt idx="19" formatCode="0.0">
                  <c:v>9.5</c:v>
                </c:pt>
                <c:pt idx="20" formatCode="0.0">
                  <c:v>10</c:v>
                </c:pt>
                <c:pt idx="21" formatCode="0.0">
                  <c:v>10.5</c:v>
                </c:pt>
                <c:pt idx="22" formatCode="0.0">
                  <c:v>11</c:v>
                </c:pt>
                <c:pt idx="23" formatCode="0.0">
                  <c:v>11.5</c:v>
                </c:pt>
                <c:pt idx="24" formatCode="0.0">
                  <c:v>12</c:v>
                </c:pt>
                <c:pt idx="25" formatCode="0.0">
                  <c:v>12.5</c:v>
                </c:pt>
                <c:pt idx="26" formatCode="0.0">
                  <c:v>13</c:v>
                </c:pt>
                <c:pt idx="27" formatCode="0.0">
                  <c:v>13.5</c:v>
                </c:pt>
                <c:pt idx="28" formatCode="0.0">
                  <c:v>14</c:v>
                </c:pt>
                <c:pt idx="29" formatCode="0.0">
                  <c:v>14.5</c:v>
                </c:pt>
                <c:pt idx="30" formatCode="0.0">
                  <c:v>15</c:v>
                </c:pt>
                <c:pt idx="31" formatCode="0.0">
                  <c:v>15.5</c:v>
                </c:pt>
                <c:pt idx="32" formatCode="0.0">
                  <c:v>16</c:v>
                </c:pt>
                <c:pt idx="33" formatCode="0.0">
                  <c:v>16.5</c:v>
                </c:pt>
                <c:pt idx="34" formatCode="0.0">
                  <c:v>17</c:v>
                </c:pt>
                <c:pt idx="35" formatCode="0.0">
                  <c:v>17.5</c:v>
                </c:pt>
                <c:pt idx="36" formatCode="0.0">
                  <c:v>18</c:v>
                </c:pt>
                <c:pt idx="37" formatCode="0.0">
                  <c:v>18.5</c:v>
                </c:pt>
                <c:pt idx="38" formatCode="0.0">
                  <c:v>19</c:v>
                </c:pt>
                <c:pt idx="39" formatCode="0.0">
                  <c:v>19.5</c:v>
                </c:pt>
                <c:pt idx="40" formatCode="0.0">
                  <c:v>20</c:v>
                </c:pt>
                <c:pt idx="41" formatCode="0.0">
                  <c:v>20.5</c:v>
                </c:pt>
                <c:pt idx="42" formatCode="0.0">
                  <c:v>21</c:v>
                </c:pt>
                <c:pt idx="43" formatCode="0.0">
                  <c:v>21.5</c:v>
                </c:pt>
                <c:pt idx="44" formatCode="0.0">
                  <c:v>22</c:v>
                </c:pt>
                <c:pt idx="45" formatCode="0.0">
                  <c:v>22.5</c:v>
                </c:pt>
                <c:pt idx="46" formatCode="0.0">
                  <c:v>23</c:v>
                </c:pt>
                <c:pt idx="47" formatCode="0.0">
                  <c:v>23.5</c:v>
                </c:pt>
                <c:pt idx="48" formatCode="0.0">
                  <c:v>24</c:v>
                </c:pt>
                <c:pt idx="49" formatCode="0.0">
                  <c:v>24.5</c:v>
                </c:pt>
                <c:pt idx="50" formatCode="0.0">
                  <c:v>25</c:v>
                </c:pt>
                <c:pt idx="51" formatCode="0.0">
                  <c:v>25.5</c:v>
                </c:pt>
                <c:pt idx="52" formatCode="0.0">
                  <c:v>26</c:v>
                </c:pt>
                <c:pt idx="53" formatCode="0.0">
                  <c:v>26.5</c:v>
                </c:pt>
                <c:pt idx="54" formatCode="0.0">
                  <c:v>27</c:v>
                </c:pt>
                <c:pt idx="55" formatCode="0.0">
                  <c:v>27.5</c:v>
                </c:pt>
                <c:pt idx="56" formatCode="0.0">
                  <c:v>28</c:v>
                </c:pt>
                <c:pt idx="57" formatCode="0.0">
                  <c:v>28.5</c:v>
                </c:pt>
                <c:pt idx="58" formatCode="0.0">
                  <c:v>29</c:v>
                </c:pt>
                <c:pt idx="59" formatCode="0.0">
                  <c:v>29.5</c:v>
                </c:pt>
                <c:pt idx="60" formatCode="0.0">
                  <c:v>30</c:v>
                </c:pt>
                <c:pt idx="61" formatCode="0.0">
                  <c:v>30.5</c:v>
                </c:pt>
                <c:pt idx="62" formatCode="0.0">
                  <c:v>31</c:v>
                </c:pt>
                <c:pt idx="63" formatCode="0.0">
                  <c:v>31.5</c:v>
                </c:pt>
                <c:pt idx="64" formatCode="0.0">
                  <c:v>32</c:v>
                </c:pt>
                <c:pt idx="65" formatCode="0.0">
                  <c:v>32.5</c:v>
                </c:pt>
                <c:pt idx="66" formatCode="0.0">
                  <c:v>33</c:v>
                </c:pt>
                <c:pt idx="67" formatCode="0.0">
                  <c:v>33.5</c:v>
                </c:pt>
                <c:pt idx="68" formatCode="0.0">
                  <c:v>34</c:v>
                </c:pt>
                <c:pt idx="69" formatCode="0.0">
                  <c:v>34.5</c:v>
                </c:pt>
                <c:pt idx="70" formatCode="0.0">
                  <c:v>35</c:v>
                </c:pt>
                <c:pt idx="71" formatCode="0.0">
                  <c:v>35.5</c:v>
                </c:pt>
                <c:pt idx="72" formatCode="0.0">
                  <c:v>36</c:v>
                </c:pt>
                <c:pt idx="73" formatCode="0.0">
                  <c:v>36.5</c:v>
                </c:pt>
                <c:pt idx="74" formatCode="0.0">
                  <c:v>37</c:v>
                </c:pt>
                <c:pt idx="75" formatCode="0.0">
                  <c:v>37.5</c:v>
                </c:pt>
                <c:pt idx="76" formatCode="0.0">
                  <c:v>38</c:v>
                </c:pt>
                <c:pt idx="77" formatCode="0.0">
                  <c:v>38.5</c:v>
                </c:pt>
                <c:pt idx="78" formatCode="0.0">
                  <c:v>39</c:v>
                </c:pt>
                <c:pt idx="79" formatCode="0.0">
                  <c:v>39.5</c:v>
                </c:pt>
                <c:pt idx="80" formatCode="0.0">
                  <c:v>40</c:v>
                </c:pt>
                <c:pt idx="81" formatCode="0.0">
                  <c:v>40.5</c:v>
                </c:pt>
                <c:pt idx="82" formatCode="0.0">
                  <c:v>41</c:v>
                </c:pt>
                <c:pt idx="83" formatCode="0.0">
                  <c:v>41.5</c:v>
                </c:pt>
                <c:pt idx="84" formatCode="0.0">
                  <c:v>42</c:v>
                </c:pt>
                <c:pt idx="85" formatCode="0.0">
                  <c:v>42.5</c:v>
                </c:pt>
                <c:pt idx="86" formatCode="0.0">
                  <c:v>43</c:v>
                </c:pt>
                <c:pt idx="87" formatCode="0.0">
                  <c:v>43.5</c:v>
                </c:pt>
                <c:pt idx="88" formatCode="0.0">
                  <c:v>44</c:v>
                </c:pt>
                <c:pt idx="89" formatCode="0.0">
                  <c:v>44.5</c:v>
                </c:pt>
                <c:pt idx="90" formatCode="0.0">
                  <c:v>45</c:v>
                </c:pt>
                <c:pt idx="91" formatCode="0.0">
                  <c:v>45.5</c:v>
                </c:pt>
                <c:pt idx="92" formatCode="0.0">
                  <c:v>46</c:v>
                </c:pt>
                <c:pt idx="93" formatCode="0.0">
                  <c:v>46.5</c:v>
                </c:pt>
                <c:pt idx="94" formatCode="0.0">
                  <c:v>47</c:v>
                </c:pt>
                <c:pt idx="95" formatCode="0.0">
                  <c:v>47.5</c:v>
                </c:pt>
                <c:pt idx="96" formatCode="0.0">
                  <c:v>48</c:v>
                </c:pt>
                <c:pt idx="97" formatCode="0.0">
                  <c:v>48.5</c:v>
                </c:pt>
                <c:pt idx="98" formatCode="0.0">
                  <c:v>49</c:v>
                </c:pt>
                <c:pt idx="99" formatCode="0.0">
                  <c:v>49.5</c:v>
                </c:pt>
                <c:pt idx="100" formatCode="0.0">
                  <c:v>50</c:v>
                </c:pt>
                <c:pt idx="101" formatCode="0.0">
                  <c:v>50.5</c:v>
                </c:pt>
                <c:pt idx="102" formatCode="0.0">
                  <c:v>51</c:v>
                </c:pt>
                <c:pt idx="103" formatCode="0.0">
                  <c:v>51.5</c:v>
                </c:pt>
                <c:pt idx="104" formatCode="0.0">
                  <c:v>52</c:v>
                </c:pt>
                <c:pt idx="105" formatCode="0.0">
                  <c:v>52.5</c:v>
                </c:pt>
                <c:pt idx="106" formatCode="0.0">
                  <c:v>53</c:v>
                </c:pt>
                <c:pt idx="107" formatCode="0.0">
                  <c:v>53.5</c:v>
                </c:pt>
                <c:pt idx="108" formatCode="0.0">
                  <c:v>54</c:v>
                </c:pt>
                <c:pt idx="109" formatCode="0.0">
                  <c:v>54.5</c:v>
                </c:pt>
                <c:pt idx="110" formatCode="0.0">
                  <c:v>55</c:v>
                </c:pt>
                <c:pt idx="111" formatCode="0.0">
                  <c:v>55.5</c:v>
                </c:pt>
                <c:pt idx="112" formatCode="0.0">
                  <c:v>56</c:v>
                </c:pt>
                <c:pt idx="113" formatCode="0.0">
                  <c:v>56.5</c:v>
                </c:pt>
                <c:pt idx="114" formatCode="0.0">
                  <c:v>57</c:v>
                </c:pt>
                <c:pt idx="115" formatCode="0.0">
                  <c:v>57.5</c:v>
                </c:pt>
                <c:pt idx="116" formatCode="0.0">
                  <c:v>58</c:v>
                </c:pt>
                <c:pt idx="117" formatCode="0.0">
                  <c:v>58.5</c:v>
                </c:pt>
                <c:pt idx="118" formatCode="0.0">
                  <c:v>59</c:v>
                </c:pt>
                <c:pt idx="119" formatCode="0.0">
                  <c:v>59.5</c:v>
                </c:pt>
                <c:pt idx="120" formatCode="0.0">
                  <c:v>60</c:v>
                </c:pt>
                <c:pt idx="121" formatCode="0.0">
                  <c:v>60.5</c:v>
                </c:pt>
                <c:pt idx="122" formatCode="0.0">
                  <c:v>61</c:v>
                </c:pt>
                <c:pt idx="123" formatCode="0.0">
                  <c:v>61.5</c:v>
                </c:pt>
                <c:pt idx="124" formatCode="0.0">
                  <c:v>62</c:v>
                </c:pt>
                <c:pt idx="125" formatCode="0.0">
                  <c:v>62.5</c:v>
                </c:pt>
                <c:pt idx="126" formatCode="0.0">
                  <c:v>63</c:v>
                </c:pt>
                <c:pt idx="127" formatCode="0.0">
                  <c:v>63.5</c:v>
                </c:pt>
                <c:pt idx="128" formatCode="0.0">
                  <c:v>64</c:v>
                </c:pt>
                <c:pt idx="129" formatCode="0.0">
                  <c:v>64.5</c:v>
                </c:pt>
                <c:pt idx="130" formatCode="0.0">
                  <c:v>65</c:v>
                </c:pt>
                <c:pt idx="131" formatCode="0.0">
                  <c:v>65.5</c:v>
                </c:pt>
                <c:pt idx="132" formatCode="0.0">
                  <c:v>66</c:v>
                </c:pt>
                <c:pt idx="133" formatCode="0.0">
                  <c:v>66.5</c:v>
                </c:pt>
                <c:pt idx="134" formatCode="0.0">
                  <c:v>67</c:v>
                </c:pt>
                <c:pt idx="135" formatCode="0.0">
                  <c:v>67.5</c:v>
                </c:pt>
                <c:pt idx="136" formatCode="0.0">
                  <c:v>68</c:v>
                </c:pt>
                <c:pt idx="137" formatCode="0.0">
                  <c:v>68.5</c:v>
                </c:pt>
                <c:pt idx="138" formatCode="0.0">
                  <c:v>69</c:v>
                </c:pt>
                <c:pt idx="139" formatCode="0.0">
                  <c:v>69.5</c:v>
                </c:pt>
                <c:pt idx="140" formatCode="0.0">
                  <c:v>70</c:v>
                </c:pt>
                <c:pt idx="141" formatCode="0.0">
                  <c:v>70.5</c:v>
                </c:pt>
                <c:pt idx="142" formatCode="0.0">
                  <c:v>71</c:v>
                </c:pt>
                <c:pt idx="143" formatCode="0.0">
                  <c:v>71.5</c:v>
                </c:pt>
                <c:pt idx="144" formatCode="0.0">
                  <c:v>72</c:v>
                </c:pt>
                <c:pt idx="145" formatCode="0.0">
                  <c:v>72.5</c:v>
                </c:pt>
                <c:pt idx="146" formatCode="0.0">
                  <c:v>73</c:v>
                </c:pt>
                <c:pt idx="147" formatCode="0.0">
                  <c:v>73.5</c:v>
                </c:pt>
                <c:pt idx="148" formatCode="0.0">
                  <c:v>74</c:v>
                </c:pt>
                <c:pt idx="149" formatCode="0.0">
                  <c:v>74.5</c:v>
                </c:pt>
                <c:pt idx="150" formatCode="0.0">
                  <c:v>75</c:v>
                </c:pt>
                <c:pt idx="151" formatCode="0.0">
                  <c:v>75.5</c:v>
                </c:pt>
                <c:pt idx="152" formatCode="0.0">
                  <c:v>76</c:v>
                </c:pt>
                <c:pt idx="153" formatCode="0.0">
                  <c:v>76.5</c:v>
                </c:pt>
                <c:pt idx="154" formatCode="0.0">
                  <c:v>77</c:v>
                </c:pt>
                <c:pt idx="155" formatCode="0.0">
                  <c:v>77.5</c:v>
                </c:pt>
                <c:pt idx="156" formatCode="0.0">
                  <c:v>78</c:v>
                </c:pt>
                <c:pt idx="157" formatCode="0.0">
                  <c:v>78.5</c:v>
                </c:pt>
                <c:pt idx="158" formatCode="0.0">
                  <c:v>79</c:v>
                </c:pt>
                <c:pt idx="159" formatCode="0.0">
                  <c:v>79.5</c:v>
                </c:pt>
                <c:pt idx="160" formatCode="0.0">
                  <c:v>80</c:v>
                </c:pt>
                <c:pt idx="161" formatCode="0.0">
                  <c:v>80.5</c:v>
                </c:pt>
                <c:pt idx="162" formatCode="0.0">
                  <c:v>81</c:v>
                </c:pt>
                <c:pt idx="163" formatCode="0.0">
                  <c:v>81.5</c:v>
                </c:pt>
                <c:pt idx="164" formatCode="0.0">
                  <c:v>82</c:v>
                </c:pt>
                <c:pt idx="165" formatCode="0.0">
                  <c:v>82.5</c:v>
                </c:pt>
                <c:pt idx="166" formatCode="0.0">
                  <c:v>83</c:v>
                </c:pt>
                <c:pt idx="167" formatCode="0.0">
                  <c:v>83.5</c:v>
                </c:pt>
                <c:pt idx="168" formatCode="0.0">
                  <c:v>84</c:v>
                </c:pt>
                <c:pt idx="169" formatCode="0.0">
                  <c:v>84.5</c:v>
                </c:pt>
                <c:pt idx="170" formatCode="0.0">
                  <c:v>85</c:v>
                </c:pt>
                <c:pt idx="171" formatCode="0.0">
                  <c:v>85.5</c:v>
                </c:pt>
                <c:pt idx="172" formatCode="0.0">
                  <c:v>86</c:v>
                </c:pt>
                <c:pt idx="173" formatCode="0.0">
                  <c:v>86.5</c:v>
                </c:pt>
                <c:pt idx="174" formatCode="0.0">
                  <c:v>87</c:v>
                </c:pt>
                <c:pt idx="175" formatCode="0.0">
                  <c:v>87.5</c:v>
                </c:pt>
                <c:pt idx="176" formatCode="0.0">
                  <c:v>88</c:v>
                </c:pt>
                <c:pt idx="177" formatCode="0.0">
                  <c:v>88.5</c:v>
                </c:pt>
                <c:pt idx="178" formatCode="0.0">
                  <c:v>89</c:v>
                </c:pt>
                <c:pt idx="179" formatCode="0.0">
                  <c:v>89.5</c:v>
                </c:pt>
                <c:pt idx="180" formatCode="0.0">
                  <c:v>90</c:v>
                </c:pt>
                <c:pt idx="181" formatCode="0.0">
                  <c:v>90.5</c:v>
                </c:pt>
                <c:pt idx="182" formatCode="0.0">
                  <c:v>91</c:v>
                </c:pt>
                <c:pt idx="183" formatCode="0.0">
                  <c:v>91.5</c:v>
                </c:pt>
                <c:pt idx="184" formatCode="0.0">
                  <c:v>92</c:v>
                </c:pt>
                <c:pt idx="185" formatCode="0.0">
                  <c:v>92.5</c:v>
                </c:pt>
                <c:pt idx="186" formatCode="0.0">
                  <c:v>93</c:v>
                </c:pt>
                <c:pt idx="187" formatCode="0.0">
                  <c:v>93.5</c:v>
                </c:pt>
                <c:pt idx="188" formatCode="0.0">
                  <c:v>94</c:v>
                </c:pt>
                <c:pt idx="189" formatCode="0.0">
                  <c:v>94.5</c:v>
                </c:pt>
                <c:pt idx="190" formatCode="0.0">
                  <c:v>95</c:v>
                </c:pt>
                <c:pt idx="191" formatCode="0.0">
                  <c:v>95.5</c:v>
                </c:pt>
                <c:pt idx="192" formatCode="0.0">
                  <c:v>96</c:v>
                </c:pt>
                <c:pt idx="193" formatCode="0.0">
                  <c:v>96.5</c:v>
                </c:pt>
                <c:pt idx="194" formatCode="0.0">
                  <c:v>97</c:v>
                </c:pt>
                <c:pt idx="195" formatCode="0.0">
                  <c:v>97.5</c:v>
                </c:pt>
                <c:pt idx="196" formatCode="0.0">
                  <c:v>98</c:v>
                </c:pt>
                <c:pt idx="197" formatCode="0.0">
                  <c:v>98.5</c:v>
                </c:pt>
                <c:pt idx="198" formatCode="0.0">
                  <c:v>99</c:v>
                </c:pt>
                <c:pt idx="199" formatCode="0.0">
                  <c:v>99.5</c:v>
                </c:pt>
                <c:pt idx="200" formatCode="0.0">
                  <c:v>100</c:v>
                </c:pt>
                <c:pt idx="201" formatCode="0.0">
                  <c:v>100.5</c:v>
                </c:pt>
                <c:pt idx="202" formatCode="0.0">
                  <c:v>101</c:v>
                </c:pt>
                <c:pt idx="203" formatCode="0.0">
                  <c:v>101.5</c:v>
                </c:pt>
                <c:pt idx="204" formatCode="0.0">
                  <c:v>102</c:v>
                </c:pt>
                <c:pt idx="205" formatCode="0.0">
                  <c:v>102.5</c:v>
                </c:pt>
                <c:pt idx="206" formatCode="0.0">
                  <c:v>103</c:v>
                </c:pt>
                <c:pt idx="207" formatCode="0.0">
                  <c:v>103.5</c:v>
                </c:pt>
                <c:pt idx="208" formatCode="0.0">
                  <c:v>104</c:v>
                </c:pt>
                <c:pt idx="209" formatCode="0.0">
                  <c:v>104.5</c:v>
                </c:pt>
                <c:pt idx="210" formatCode="0.0">
                  <c:v>105</c:v>
                </c:pt>
                <c:pt idx="211" formatCode="0.0">
                  <c:v>105.5</c:v>
                </c:pt>
                <c:pt idx="212" formatCode="0.0">
                  <c:v>106</c:v>
                </c:pt>
                <c:pt idx="213" formatCode="0.0">
                  <c:v>106.5</c:v>
                </c:pt>
                <c:pt idx="214" formatCode="0.0">
                  <c:v>107</c:v>
                </c:pt>
                <c:pt idx="215" formatCode="0.0">
                  <c:v>107.5</c:v>
                </c:pt>
                <c:pt idx="216" formatCode="0.0">
                  <c:v>108</c:v>
                </c:pt>
                <c:pt idx="217" formatCode="0.0">
                  <c:v>108.5</c:v>
                </c:pt>
                <c:pt idx="218" formatCode="0.0">
                  <c:v>109</c:v>
                </c:pt>
                <c:pt idx="219" formatCode="0.0">
                  <c:v>109.5</c:v>
                </c:pt>
                <c:pt idx="220" formatCode="0.0">
                  <c:v>110</c:v>
                </c:pt>
                <c:pt idx="221" formatCode="0.0">
                  <c:v>110.5</c:v>
                </c:pt>
                <c:pt idx="222" formatCode="0.0">
                  <c:v>111</c:v>
                </c:pt>
                <c:pt idx="223" formatCode="0.0">
                  <c:v>111.5</c:v>
                </c:pt>
                <c:pt idx="224" formatCode="0.0">
                  <c:v>112</c:v>
                </c:pt>
                <c:pt idx="225" formatCode="0.0">
                  <c:v>112.5</c:v>
                </c:pt>
                <c:pt idx="226" formatCode="0.0">
                  <c:v>113</c:v>
                </c:pt>
                <c:pt idx="227" formatCode="0.0">
                  <c:v>113.5</c:v>
                </c:pt>
                <c:pt idx="228" formatCode="0.0">
                  <c:v>114</c:v>
                </c:pt>
                <c:pt idx="229" formatCode="0.0">
                  <c:v>114.5</c:v>
                </c:pt>
                <c:pt idx="230" formatCode="0.0">
                  <c:v>115</c:v>
                </c:pt>
                <c:pt idx="231" formatCode="0.0">
                  <c:v>115.5</c:v>
                </c:pt>
                <c:pt idx="232" formatCode="0.0">
                  <c:v>116</c:v>
                </c:pt>
                <c:pt idx="233" formatCode="0.0">
                  <c:v>116.5</c:v>
                </c:pt>
                <c:pt idx="234" formatCode="0.0">
                  <c:v>117</c:v>
                </c:pt>
                <c:pt idx="235" formatCode="0.0">
                  <c:v>117.5</c:v>
                </c:pt>
                <c:pt idx="236" formatCode="0.0">
                  <c:v>118</c:v>
                </c:pt>
                <c:pt idx="237" formatCode="0.0">
                  <c:v>118.5</c:v>
                </c:pt>
                <c:pt idx="238" formatCode="0.0">
                  <c:v>119</c:v>
                </c:pt>
                <c:pt idx="239" formatCode="0.0">
                  <c:v>119.5</c:v>
                </c:pt>
                <c:pt idx="240" formatCode="0.0">
                  <c:v>120</c:v>
                </c:pt>
              </c:numCache>
            </c:numRef>
          </c:xVal>
          <c:yVal>
            <c:numRef>
              <c:f>Berechnung_Versickerung!$I$33:$I$273</c:f>
              <c:numCache>
                <c:formatCode>0.0</c:formatCode>
                <c:ptCount val="241"/>
                <c:pt idx="0">
                  <c:v>0</c:v>
                </c:pt>
                <c:pt idx="1">
                  <c:v>0.38161128822304002</c:v>
                </c:pt>
                <c:pt idx="2">
                  <c:v>0.76322257644608005</c:v>
                </c:pt>
                <c:pt idx="3">
                  <c:v>1.1448338646691201</c:v>
                </c:pt>
                <c:pt idx="4">
                  <c:v>1.5264451528921601</c:v>
                </c:pt>
                <c:pt idx="5">
                  <c:v>1.9080564411152001</c:v>
                </c:pt>
                <c:pt idx="6">
                  <c:v>2.2896677293382401</c:v>
                </c:pt>
                <c:pt idx="7">
                  <c:v>2.6712790175612797</c:v>
                </c:pt>
                <c:pt idx="8">
                  <c:v>3.0528903057843202</c:v>
                </c:pt>
                <c:pt idx="9">
                  <c:v>3.4345015940073598</c:v>
                </c:pt>
                <c:pt idx="10">
                  <c:v>3.8161128822304002</c:v>
                </c:pt>
                <c:pt idx="11">
                  <c:v>3.90183006397712</c:v>
                </c:pt>
                <c:pt idx="12">
                  <c:v>3.9337483172735994</c:v>
                </c:pt>
                <c:pt idx="13">
                  <c:v>4.0008633409778804</c:v>
                </c:pt>
                <c:pt idx="14">
                  <c:v>4.0278710822100798</c:v>
                </c:pt>
                <c:pt idx="15">
                  <c:v>4.0815187569887996</c:v>
                </c:pt>
                <c:pt idx="16">
                  <c:v>4.1039587780979199</c:v>
                </c:pt>
                <c:pt idx="17">
                  <c:v>4.1473642886699587</c:v>
                </c:pt>
                <c:pt idx="18">
                  <c:v>4.16570016241152</c:v>
                </c:pt>
                <c:pt idx="19">
                  <c:v>4.2010264431851194</c:v>
                </c:pt>
                <c:pt idx="20">
                  <c:v>4.2157104601664006</c:v>
                </c:pt>
                <c:pt idx="21">
                  <c:v>4.2444817888216804</c:v>
                </c:pt>
                <c:pt idx="22">
                  <c:v>4.2559184323004811</c:v>
                </c:pt>
                <c:pt idx="23">
                  <c:v>4.2792515187634397</c:v>
                </c:pt>
                <c:pt idx="24">
                  <c:v>4.2877917572812789</c:v>
                </c:pt>
                <c:pt idx="25">
                  <c:v>4.3065306391989999</c:v>
                </c:pt>
                <c:pt idx="26">
                  <c:v>4.3124759924792002</c:v>
                </c:pt>
                <c:pt idx="27">
                  <c:v>4.3272751643737202</c:v>
                </c:pt>
                <c:pt idx="28">
                  <c:v>4.3308843148345613</c:v>
                </c:pt>
                <c:pt idx="29">
                  <c:v>4.3422622609712</c:v>
                </c:pt>
                <c:pt idx="30">
                  <c:v>4.3437576903024002</c:v>
                </c:pt>
                <c:pt idx="31">
                  <c:v>4.3521326641877209</c:v>
                </c:pt>
                <c:pt idx="32">
                  <c:v>4.3517065445811198</c:v>
                </c:pt>
                <c:pt idx="33">
                  <c:v>4.3574212286879996</c:v>
                </c:pt>
                <c:pt idx="34">
                  <c:v>4.35524038883056</c:v>
                </c:pt>
                <c:pt idx="35">
                  <c:v>4.3585793674261994</c:v>
                </c:pt>
                <c:pt idx="36">
                  <c:v>4.3547894130527993</c:v>
                </c:pt>
                <c:pt idx="37">
                  <c:v>4.3559918180934396</c:v>
                </c:pt>
                <c:pt idx="38">
                  <c:v>4.3507204951587202</c:v>
                </c:pt>
                <c:pt idx="39">
                  <c:v>4.3499893751651992</c:v>
                </c:pt>
                <c:pt idx="40">
                  <c:v>4.3433493441663993</c:v>
                </c:pt>
                <c:pt idx="41">
                  <c:v>4.3408587100357998</c:v>
                </c:pt>
                <c:pt idx="42">
                  <c:v>4.3329498140644791</c:v>
                </c:pt>
                <c:pt idx="43">
                  <c:v>4.3288500314176002</c:v>
                </c:pt>
                <c:pt idx="44">
                  <c:v>4.3197611671702409</c:v>
                </c:pt>
                <c:pt idx="45">
                  <c:v>4.3141831376760003</c:v>
                </c:pt>
                <c:pt idx="46">
                  <c:v>4.3039938006414404</c:v>
                </c:pt>
                <c:pt idx="47">
                  <c:v>4.2970522519053205</c:v>
                </c:pt>
                <c:pt idx="48">
                  <c:v>4.28583382523904</c:v>
                </c:pt>
                <c:pt idx="49">
                  <c:v>4.2776299277950001</c:v>
                </c:pt>
                <c:pt idx="50">
                  <c:v>4.2654467608760003</c:v>
                </c:pt>
                <c:pt idx="51">
                  <c:v>4.2560702292156005</c:v>
                </c:pt>
                <c:pt idx="52">
                  <c:v>4.2429805419913613</c:v>
                </c:pt>
                <c:pt idx="53">
                  <c:v>4.2325113362082787</c:v>
                </c:pt>
                <c:pt idx="54">
                  <c:v>4.2185679800313594</c:v>
                </c:pt>
                <c:pt idx="55">
                  <c:v>4.2070777061500007</c:v>
                </c:pt>
                <c:pt idx="56">
                  <c:v>4.1923288176089599</c:v>
                </c:pt>
                <c:pt idx="57">
                  <c:v>4.1798818736256003</c:v>
                </c:pt>
                <c:pt idx="58">
                  <c:v>4.1643714223235211</c:v>
                </c:pt>
                <c:pt idx="59">
                  <c:v>4.1510259620915599</c:v>
                </c:pt>
                <c:pt idx="60">
                  <c:v>4.1347942317744009</c:v>
                </c:pt>
                <c:pt idx="61">
                  <c:v>4.1206029605562389</c:v>
                </c:pt>
                <c:pt idx="62">
                  <c:v>4.1036869513572807</c:v>
                </c:pt>
                <c:pt idx="63">
                  <c:v>4.0886978111532013</c:v>
                </c:pt>
                <c:pt idx="64">
                  <c:v>4.0711316030310405</c:v>
                </c:pt>
                <c:pt idx="65">
                  <c:v>4.0553883312409997</c:v>
                </c:pt>
                <c:pt idx="66">
                  <c:v>4.0372033762790398</c:v>
                </c:pt>
                <c:pt idx="67">
                  <c:v>4.0207460043872807</c:v>
                </c:pt>
                <c:pt idx="68">
                  <c:v>4.0019714050323199</c:v>
                </c:pt>
                <c:pt idx="69">
                  <c:v>3.9848366734033198</c:v>
                </c:pt>
                <c:pt idx="70">
                  <c:v>3.9654994127223993</c:v>
                </c:pt>
                <c:pt idx="71">
                  <c:v>3.9477211272467594</c:v>
                </c:pt>
                <c:pt idx="72">
                  <c:v>3.9278462705856008</c:v>
                </c:pt>
                <c:pt idx="73">
                  <c:v>3.9094556253653203</c:v>
                </c:pt>
                <c:pt idx="74">
                  <c:v>3.8890665125931183</c:v>
                </c:pt>
                <c:pt idx="75">
                  <c:v>3.8700923479229994</c:v>
                </c:pt>
                <c:pt idx="76">
                  <c:v>3.8492107401184006</c:v>
                </c:pt>
                <c:pt idx="77">
                  <c:v>3.8296797810840801</c:v>
                </c:pt>
                <c:pt idx="78">
                  <c:v>3.808326004679039</c:v>
                </c:pt>
                <c:pt idx="79">
                  <c:v>3.7882630727454396</c:v>
                </c:pt>
                <c:pt idx="80">
                  <c:v>3.7664561503232008</c:v>
                </c:pt>
                <c:pt idx="81">
                  <c:v>3.745884350256838</c:v>
                </c:pt>
                <c:pt idx="82">
                  <c:v>3.7236421180436796</c:v>
                </c:pt>
                <c:pt idx="83">
                  <c:v>3.7025829774887606</c:v>
                </c:pt>
                <c:pt idx="84">
                  <c:v>3.6799221643967996</c:v>
                </c:pt>
                <c:pt idx="85">
                  <c:v>3.6583958018907996</c:v>
                </c:pt>
                <c:pt idx="86">
                  <c:v>3.6353321462153589</c:v>
                </c:pt>
                <c:pt idx="87">
                  <c:v>3.6133573697343602</c:v>
                </c:pt>
                <c:pt idx="88">
                  <c:v>3.5899056718623994</c:v>
                </c:pt>
                <c:pt idx="89">
                  <c:v>3.5675001205023191</c:v>
                </c:pt>
                <c:pt idx="90">
                  <c:v>3.5436743459063988</c:v>
                </c:pt>
                <c:pt idx="91">
                  <c:v>3.5208545620939597</c:v>
                </c:pt>
                <c:pt idx="92">
                  <c:v>3.4966678784307206</c:v>
                </c:pt>
                <c:pt idx="93">
                  <c:v>3.4734494169548409</c:v>
                </c:pt>
                <c:pt idx="94">
                  <c:v>3.4489142733063991</c:v>
                </c:pt>
                <c:pt idx="95">
                  <c:v>3.4253117712253989</c:v>
                </c:pt>
                <c:pt idx="96">
                  <c:v>3.400439941155839</c:v>
                </c:pt>
                <c:pt idx="97">
                  <c:v>3.3764671961252803</c:v>
                </c:pt>
                <c:pt idx="98">
                  <c:v>3.3512698326531201</c:v>
                </c:pt>
                <c:pt idx="99">
                  <c:v>3.3269398630221607</c:v>
                </c:pt>
                <c:pt idx="100">
                  <c:v>3.3014275378240008</c:v>
                </c:pt>
                <c:pt idx="101">
                  <c:v>3.2767526457504816</c:v>
                </c:pt>
                <c:pt idx="102">
                  <c:v>3.2509353939254391</c:v>
                </c:pt>
                <c:pt idx="103">
                  <c:v>3.2259272124837981</c:v>
                </c:pt>
                <c:pt idx="104">
                  <c:v>3.1998145631379211</c:v>
                </c:pt>
                <c:pt idx="105">
                  <c:v>3.1744841127216006</c:v>
                </c:pt>
                <c:pt idx="106">
                  <c:v>3.1480851309121594</c:v>
                </c:pt>
                <c:pt idx="107">
                  <c:v>3.1224428636882218</c:v>
                </c:pt>
                <c:pt idx="108">
                  <c:v>3.0957661818184317</c:v>
                </c:pt>
                <c:pt idx="109">
                  <c:v>3.0698220084352963</c:v>
                </c:pt>
                <c:pt idx="110">
                  <c:v>3.0428758410142418</c:v>
                </c:pt>
                <c:pt idx="111">
                  <c:v>3.0166391821780927</c:v>
                </c:pt>
                <c:pt idx="112">
                  <c:v>2.9894313671891197</c:v>
                </c:pt>
                <c:pt idx="113">
                  <c:v>2.9629111798989793</c:v>
                </c:pt>
                <c:pt idx="114">
                  <c:v>2.9354491954622413</c:v>
                </c:pt>
                <c:pt idx="115">
                  <c:v>2.9086540053023198</c:v>
                </c:pt>
                <c:pt idx="116">
                  <c:v>2.8809449934988161</c:v>
                </c:pt>
                <c:pt idx="117">
                  <c:v>2.8538829216640078</c:v>
                </c:pt>
                <c:pt idx="118">
                  <c:v>2.8259337078712949</c:v>
                </c:pt>
                <c:pt idx="119">
                  <c:v>2.7986124988480414</c:v>
                </c:pt>
                <c:pt idx="120">
                  <c:v>2.7704296125177592</c:v>
                </c:pt>
                <c:pt idx="121">
                  <c:v>2.7350113426731051</c:v>
                </c:pt>
                <c:pt idx="122">
                  <c:v>2.6986260450055992</c:v>
                </c:pt>
                <c:pt idx="123">
                  <c:v>2.6630652240767763</c:v>
                </c:pt>
                <c:pt idx="124">
                  <c:v>2.626566505480576</c:v>
                </c:pt>
                <c:pt idx="125">
                  <c:v>2.5908669783754998</c:v>
                </c:pt>
                <c:pt idx="126">
                  <c:v>2.5542573470295826</c:v>
                </c:pt>
                <c:pt idx="127">
                  <c:v>2.5184227908669756</c:v>
                </c:pt>
                <c:pt idx="128">
                  <c:v>2.4817046687221751</c:v>
                </c:pt>
                <c:pt idx="129">
                  <c:v>2.4457386030237123</c:v>
                </c:pt>
                <c:pt idx="130">
                  <c:v>2.4089143298303206</c:v>
                </c:pt>
                <c:pt idx="131">
                  <c:v>2.3728201245877614</c:v>
                </c:pt>
                <c:pt idx="132">
                  <c:v>2.3358919603303674</c:v>
                </c:pt>
                <c:pt idx="133">
                  <c:v>2.2996728451451425</c:v>
                </c:pt>
                <c:pt idx="134">
                  <c:v>2.2626429740742093</c:v>
                </c:pt>
                <c:pt idx="135">
                  <c:v>2.2263020472135597</c:v>
                </c:pt>
                <c:pt idx="136">
                  <c:v>2.1891725822464014</c:v>
                </c:pt>
                <c:pt idx="137">
                  <c:v>2.152712815711662</c:v>
                </c:pt>
                <c:pt idx="138">
                  <c:v>2.1154857991950733</c:v>
                </c:pt>
                <c:pt idx="139">
                  <c:v>2.0789100483219984</c:v>
                </c:pt>
                <c:pt idx="140">
                  <c:v>2.04158745776384</c:v>
                </c:pt>
                <c:pt idx="141">
                  <c:v>2.0048984666523246</c:v>
                </c:pt>
                <c:pt idx="142">
                  <c:v>1.9674822165526233</c:v>
                </c:pt>
                <c:pt idx="143">
                  <c:v>1.9306826229204805</c:v>
                </c:pt>
                <c:pt idx="144">
                  <c:v>1.8931745663205106</c:v>
                </c:pt>
                <c:pt idx="145">
                  <c:v>1.8562669078388225</c:v>
                </c:pt>
                <c:pt idx="146">
                  <c:v>1.8186688396456665</c:v>
                </c:pt>
                <c:pt idx="147">
                  <c:v>1.7816555608937401</c:v>
                </c:pt>
                <c:pt idx="148">
                  <c:v>1.7439692220786869</c:v>
                </c:pt>
                <c:pt idx="149">
                  <c:v>1.7068526756125513</c:v>
                </c:pt>
                <c:pt idx="150">
                  <c:v>1.6690797516659988</c:v>
                </c:pt>
                <c:pt idx="151">
                  <c:v>1.6318622067964945</c:v>
                </c:pt>
                <c:pt idx="152">
                  <c:v>1.5940043342023031</c:v>
                </c:pt>
                <c:pt idx="153">
                  <c:v>1.5566879768123876</c:v>
                </c:pt>
                <c:pt idx="154">
                  <c:v>1.5187467406249615</c:v>
                </c:pt>
                <c:pt idx="155">
                  <c:v>1.4813336823251602</c:v>
                </c:pt>
                <c:pt idx="156">
                  <c:v>1.4433106233786246</c:v>
                </c:pt>
                <c:pt idx="157">
                  <c:v>1.4058029002320263</c:v>
                </c:pt>
                <c:pt idx="158">
                  <c:v>1.3676995119348323</c:v>
                </c:pt>
                <c:pt idx="159">
                  <c:v>1.3300990911777113</c:v>
                </c:pt>
                <c:pt idx="160">
                  <c:v>1.2919168245491193</c:v>
                </c:pt>
                <c:pt idx="161">
                  <c:v>1.2542256063227235</c:v>
                </c:pt>
                <c:pt idx="162">
                  <c:v>1.2159658701040303</c:v>
                </c:pt>
                <c:pt idx="163">
                  <c:v>1.1781856917642006</c:v>
                </c:pt>
                <c:pt idx="164">
                  <c:v>1.1398498552587171</c:v>
                </c:pt>
                <c:pt idx="165">
                  <c:v>1.1019824934214792</c:v>
                </c:pt>
                <c:pt idx="166">
                  <c:v>1.0635718871499034</c:v>
                </c:pt>
                <c:pt idx="167">
                  <c:v>1.0256190600190411</c:v>
                </c:pt>
                <c:pt idx="168">
                  <c:v>0.98713497676012807</c:v>
                </c:pt>
                <c:pt idx="169">
                  <c:v>0.94909834880223976</c:v>
                </c:pt>
                <c:pt idx="170">
                  <c:v>0.91054204710008158</c:v>
                </c:pt>
                <c:pt idx="171">
                  <c:v>0.87242322807144213</c:v>
                </c:pt>
                <c:pt idx="172">
                  <c:v>0.83379593011043163</c:v>
                </c:pt>
                <c:pt idx="173">
                  <c:v>0.79559648091568391</c:v>
                </c:pt>
                <c:pt idx="174">
                  <c:v>0.75689937738624025</c:v>
                </c:pt>
                <c:pt idx="175">
                  <c:v>0.71862081067420114</c:v>
                </c:pt>
                <c:pt idx="176">
                  <c:v>0.67985506038348831</c:v>
                </c:pt>
                <c:pt idx="177">
                  <c:v>0.64149884156000425</c:v>
                </c:pt>
                <c:pt idx="178">
                  <c:v>0.60266557153124722</c:v>
                </c:pt>
                <c:pt idx="179">
                  <c:v>0.56423312211156862</c:v>
                </c:pt>
                <c:pt idx="180">
                  <c:v>0.52533343011023703</c:v>
                </c:pt>
                <c:pt idx="181">
                  <c:v>0.48682612899005306</c:v>
                </c:pt>
                <c:pt idx="182">
                  <c:v>0.44786108400051106</c:v>
                </c:pt>
                <c:pt idx="183">
                  <c:v>0.4092802705024674</c:v>
                </c:pt>
                <c:pt idx="184">
                  <c:v>0.37025091505158514</c:v>
                </c:pt>
                <c:pt idx="185">
                  <c:v>0.33159788910403876</c:v>
                </c:pt>
                <c:pt idx="186">
                  <c:v>0.29250523873291101</c:v>
                </c:pt>
                <c:pt idx="187">
                  <c:v>0.25378126126315514</c:v>
                </c:pt>
                <c:pt idx="188">
                  <c:v>0.21462630426099061</c:v>
                </c:pt>
                <c:pt idx="189">
                  <c:v>0.17583260113943844</c:v>
                </c:pt>
                <c:pt idx="190">
                  <c:v>0.13661630190784102</c:v>
                </c:pt>
                <c:pt idx="191">
                  <c:v>9.7754066688715113E-2</c:v>
                </c:pt>
                <c:pt idx="192">
                  <c:v>5.847736792627245E-2</c:v>
                </c:pt>
                <c:pt idx="193">
                  <c:v>1.9547756652233517E-2</c:v>
                </c:pt>
                <c:pt idx="194">
                  <c:v>-1.9788426444593554E-2</c:v>
                </c:pt>
                <c:pt idx="195">
                  <c:v>-5.8784285471341846E-2</c:v>
                </c:pt>
                <c:pt idx="196">
                  <c:v>-9.8179055850176056E-2</c:v>
                </c:pt>
                <c:pt idx="197">
                  <c:v>-0.13724006729502491</c:v>
                </c:pt>
                <c:pt idx="198">
                  <c:v>-0.17669255181494492</c:v>
                </c:pt>
                <c:pt idx="199">
                  <c:v>-0.21581765071319481</c:v>
                </c:pt>
                <c:pt idx="200">
                  <c:v>-0.25532699797600067</c:v>
                </c:pt>
                <c:pt idx="201">
                  <c:v>-0.29451514571718107</c:v>
                </c:pt>
                <c:pt idx="202">
                  <c:v>-0.33408052244096176</c:v>
                </c:pt>
                <c:pt idx="203">
                  <c:v>-0.37333070831391879</c:v>
                </c:pt>
                <c:pt idx="204">
                  <c:v>-0.41295130129920032</c:v>
                </c:pt>
                <c:pt idx="205">
                  <c:v>-0.45226254167786095</c:v>
                </c:pt>
                <c:pt idx="206">
                  <c:v>-0.49193755736670397</c:v>
                </c:pt>
                <c:pt idx="207">
                  <c:v>-0.53130889384718394</c:v>
                </c:pt>
                <c:pt idx="208">
                  <c:v>-0.57103755680192059</c:v>
                </c:pt>
                <c:pt idx="209">
                  <c:v>-0.61046805638922486</c:v>
                </c:pt>
                <c:pt idx="210">
                  <c:v>-0.65024960982071889</c:v>
                </c:pt>
                <c:pt idx="211">
                  <c:v>-0.68973836046023607</c:v>
                </c:pt>
                <c:pt idx="212">
                  <c:v>-0.72957206203744107</c:v>
                </c:pt>
                <c:pt idx="213">
                  <c:v>-0.76911817827503981</c:v>
                </c:pt>
                <c:pt idx="214">
                  <c:v>-0.809003306142559</c:v>
                </c:pt>
                <c:pt idx="215">
                  <c:v>-0.84860592070396024</c:v>
                </c:pt>
                <c:pt idx="216">
                  <c:v>-0.88854176526796813</c:v>
                </c:pt>
                <c:pt idx="217">
                  <c:v>-0.92820003566813369</c:v>
                </c:pt>
                <c:pt idx="218">
                  <c:v>-0.96818590653942493</c:v>
                </c:pt>
                <c:pt idx="219">
                  <c:v>-1.0078990089061222</c:v>
                </c:pt>
                <c:pt idx="220">
                  <c:v>-1.0479342289222409</c:v>
                </c:pt>
                <c:pt idx="221">
                  <c:v>-1.0877013600336536</c:v>
                </c:pt>
                <c:pt idx="222">
                  <c:v>-1.1277852675587052</c:v>
                </c:pt>
                <c:pt idx="223">
                  <c:v>-1.1676056422537044</c:v>
                </c:pt>
                <c:pt idx="224">
                  <c:v>-1.2077375887951334</c:v>
                </c:pt>
                <c:pt idx="225">
                  <c:v>-1.2476104421975993</c:v>
                </c:pt>
                <c:pt idx="226">
                  <c:v>-1.2877897948688481</c:v>
                </c:pt>
                <c:pt idx="227">
                  <c:v>-1.3277143788287447</c:v>
                </c:pt>
                <c:pt idx="228">
                  <c:v>-1.3679405169650902</c:v>
                </c:pt>
                <c:pt idx="229">
                  <c:v>-1.4079161002769371</c:v>
                </c:pt>
                <c:pt idx="230">
                  <c:v>-1.4481884158525613</c:v>
                </c:pt>
                <c:pt idx="231">
                  <c:v>-1.4882142865830232</c:v>
                </c:pt>
                <c:pt idx="232">
                  <c:v>-1.5285321867451511</c:v>
                </c:pt>
                <c:pt idx="233">
                  <c:v>-1.5686076456196592</c:v>
                </c:pt>
                <c:pt idx="234">
                  <c:v>-1.6089705461943353</c:v>
                </c:pt>
                <c:pt idx="235">
                  <c:v>-1.6490949137665414</c:v>
                </c:pt>
                <c:pt idx="236">
                  <c:v>-1.6895022466584653</c:v>
                </c:pt>
                <c:pt idx="237">
                  <c:v>-1.7296748558587698</c:v>
                </c:pt>
                <c:pt idx="238">
                  <c:v>-1.7701260616951533</c:v>
                </c:pt>
                <c:pt idx="239">
                  <c:v>-1.8103462613935974</c:v>
                </c:pt>
                <c:pt idx="240">
                  <c:v>-1.850840793269759</c:v>
                </c:pt>
              </c:numCache>
            </c:numRef>
          </c:yVal>
          <c:smooth val="0"/>
          <c:extLst>
            <c:ext xmlns:c16="http://schemas.microsoft.com/office/drawing/2014/chart" uri="{C3380CC4-5D6E-409C-BE32-E72D297353CC}">
              <c16:uniqueId val="{00000000-39DE-4285-A2F0-A795081249C5}"/>
            </c:ext>
          </c:extLst>
        </c:ser>
        <c:ser>
          <c:idx val="0"/>
          <c:order val="1"/>
          <c:tx>
            <c:strRef>
              <c:f>Berechnung_Versickerung!$G$31:$G$32</c:f>
              <c:strCache>
                <c:ptCount val="2"/>
                <c:pt idx="0">
                  <c:v>Regenmenge</c:v>
                </c:pt>
                <c:pt idx="1">
                  <c:v>m3</c:v>
                </c:pt>
              </c:strCache>
            </c:strRef>
          </c:tx>
          <c:spPr>
            <a:ln w="19050">
              <a:solidFill>
                <a:srgbClr val="0070C0"/>
              </a:solidFill>
            </a:ln>
          </c:spPr>
          <c:marker>
            <c:symbol val="none"/>
          </c:marker>
          <c:xVal>
            <c:numRef>
              <c:f>Berechnung_Versickerung!$B$33:$B$273</c:f>
              <c:numCache>
                <c:formatCode>General</c:formatCode>
                <c:ptCount val="241"/>
                <c:pt idx="0">
                  <c:v>0</c:v>
                </c:pt>
                <c:pt idx="1">
                  <c:v>0.5</c:v>
                </c:pt>
                <c:pt idx="2" formatCode="0.0">
                  <c:v>1</c:v>
                </c:pt>
                <c:pt idx="3" formatCode="0.0">
                  <c:v>1.5</c:v>
                </c:pt>
                <c:pt idx="4" formatCode="0.0">
                  <c:v>2</c:v>
                </c:pt>
                <c:pt idx="5" formatCode="0.0">
                  <c:v>2.5</c:v>
                </c:pt>
                <c:pt idx="6" formatCode="0.0">
                  <c:v>3</c:v>
                </c:pt>
                <c:pt idx="7" formatCode="0.0">
                  <c:v>3.5</c:v>
                </c:pt>
                <c:pt idx="8" formatCode="0.0">
                  <c:v>4</c:v>
                </c:pt>
                <c:pt idx="9" formatCode="0.0">
                  <c:v>4.5</c:v>
                </c:pt>
                <c:pt idx="10" formatCode="0.0">
                  <c:v>5</c:v>
                </c:pt>
                <c:pt idx="11" formatCode="0.0">
                  <c:v>5.5</c:v>
                </c:pt>
                <c:pt idx="12" formatCode="0.0">
                  <c:v>6</c:v>
                </c:pt>
                <c:pt idx="13" formatCode="0.0">
                  <c:v>6.5</c:v>
                </c:pt>
                <c:pt idx="14" formatCode="0.0">
                  <c:v>7</c:v>
                </c:pt>
                <c:pt idx="15" formatCode="0.0">
                  <c:v>7.5</c:v>
                </c:pt>
                <c:pt idx="16" formatCode="0.0">
                  <c:v>8</c:v>
                </c:pt>
                <c:pt idx="17" formatCode="0.0">
                  <c:v>8.5</c:v>
                </c:pt>
                <c:pt idx="18" formatCode="0.0">
                  <c:v>9</c:v>
                </c:pt>
                <c:pt idx="19" formatCode="0.0">
                  <c:v>9.5</c:v>
                </c:pt>
                <c:pt idx="20" formatCode="0.0">
                  <c:v>10</c:v>
                </c:pt>
                <c:pt idx="21" formatCode="0.0">
                  <c:v>10.5</c:v>
                </c:pt>
                <c:pt idx="22" formatCode="0.0">
                  <c:v>11</c:v>
                </c:pt>
                <c:pt idx="23" formatCode="0.0">
                  <c:v>11.5</c:v>
                </c:pt>
                <c:pt idx="24" formatCode="0.0">
                  <c:v>12</c:v>
                </c:pt>
                <c:pt idx="25" formatCode="0.0">
                  <c:v>12.5</c:v>
                </c:pt>
                <c:pt idx="26" formatCode="0.0">
                  <c:v>13</c:v>
                </c:pt>
                <c:pt idx="27" formatCode="0.0">
                  <c:v>13.5</c:v>
                </c:pt>
                <c:pt idx="28" formatCode="0.0">
                  <c:v>14</c:v>
                </c:pt>
                <c:pt idx="29" formatCode="0.0">
                  <c:v>14.5</c:v>
                </c:pt>
                <c:pt idx="30" formatCode="0.0">
                  <c:v>15</c:v>
                </c:pt>
                <c:pt idx="31" formatCode="0.0">
                  <c:v>15.5</c:v>
                </c:pt>
                <c:pt idx="32" formatCode="0.0">
                  <c:v>16</c:v>
                </c:pt>
                <c:pt idx="33" formatCode="0.0">
                  <c:v>16.5</c:v>
                </c:pt>
                <c:pt idx="34" formatCode="0.0">
                  <c:v>17</c:v>
                </c:pt>
                <c:pt idx="35" formatCode="0.0">
                  <c:v>17.5</c:v>
                </c:pt>
                <c:pt idx="36" formatCode="0.0">
                  <c:v>18</c:v>
                </c:pt>
                <c:pt idx="37" formatCode="0.0">
                  <c:v>18.5</c:v>
                </c:pt>
                <c:pt idx="38" formatCode="0.0">
                  <c:v>19</c:v>
                </c:pt>
                <c:pt idx="39" formatCode="0.0">
                  <c:v>19.5</c:v>
                </c:pt>
                <c:pt idx="40" formatCode="0.0">
                  <c:v>20</c:v>
                </c:pt>
                <c:pt idx="41" formatCode="0.0">
                  <c:v>20.5</c:v>
                </c:pt>
                <c:pt idx="42" formatCode="0.0">
                  <c:v>21</c:v>
                </c:pt>
                <c:pt idx="43" formatCode="0.0">
                  <c:v>21.5</c:v>
                </c:pt>
                <c:pt idx="44" formatCode="0.0">
                  <c:v>22</c:v>
                </c:pt>
                <c:pt idx="45" formatCode="0.0">
                  <c:v>22.5</c:v>
                </c:pt>
                <c:pt idx="46" formatCode="0.0">
                  <c:v>23</c:v>
                </c:pt>
                <c:pt idx="47" formatCode="0.0">
                  <c:v>23.5</c:v>
                </c:pt>
                <c:pt idx="48" formatCode="0.0">
                  <c:v>24</c:v>
                </c:pt>
                <c:pt idx="49" formatCode="0.0">
                  <c:v>24.5</c:v>
                </c:pt>
                <c:pt idx="50" formatCode="0.0">
                  <c:v>25</c:v>
                </c:pt>
                <c:pt idx="51" formatCode="0.0">
                  <c:v>25.5</c:v>
                </c:pt>
                <c:pt idx="52" formatCode="0.0">
                  <c:v>26</c:v>
                </c:pt>
                <c:pt idx="53" formatCode="0.0">
                  <c:v>26.5</c:v>
                </c:pt>
                <c:pt idx="54" formatCode="0.0">
                  <c:v>27</c:v>
                </c:pt>
                <c:pt idx="55" formatCode="0.0">
                  <c:v>27.5</c:v>
                </c:pt>
                <c:pt idx="56" formatCode="0.0">
                  <c:v>28</c:v>
                </c:pt>
                <c:pt idx="57" formatCode="0.0">
                  <c:v>28.5</c:v>
                </c:pt>
                <c:pt idx="58" formatCode="0.0">
                  <c:v>29</c:v>
                </c:pt>
                <c:pt idx="59" formatCode="0.0">
                  <c:v>29.5</c:v>
                </c:pt>
                <c:pt idx="60" formatCode="0.0">
                  <c:v>30</c:v>
                </c:pt>
                <c:pt idx="61" formatCode="0.0">
                  <c:v>30.5</c:v>
                </c:pt>
                <c:pt idx="62" formatCode="0.0">
                  <c:v>31</c:v>
                </c:pt>
                <c:pt idx="63" formatCode="0.0">
                  <c:v>31.5</c:v>
                </c:pt>
                <c:pt idx="64" formatCode="0.0">
                  <c:v>32</c:v>
                </c:pt>
                <c:pt idx="65" formatCode="0.0">
                  <c:v>32.5</c:v>
                </c:pt>
                <c:pt idx="66" formatCode="0.0">
                  <c:v>33</c:v>
                </c:pt>
                <c:pt idx="67" formatCode="0.0">
                  <c:v>33.5</c:v>
                </c:pt>
                <c:pt idx="68" formatCode="0.0">
                  <c:v>34</c:v>
                </c:pt>
                <c:pt idx="69" formatCode="0.0">
                  <c:v>34.5</c:v>
                </c:pt>
                <c:pt idx="70" formatCode="0.0">
                  <c:v>35</c:v>
                </c:pt>
                <c:pt idx="71" formatCode="0.0">
                  <c:v>35.5</c:v>
                </c:pt>
                <c:pt idx="72" formatCode="0.0">
                  <c:v>36</c:v>
                </c:pt>
                <c:pt idx="73" formatCode="0.0">
                  <c:v>36.5</c:v>
                </c:pt>
                <c:pt idx="74" formatCode="0.0">
                  <c:v>37</c:v>
                </c:pt>
                <c:pt idx="75" formatCode="0.0">
                  <c:v>37.5</c:v>
                </c:pt>
                <c:pt idx="76" formatCode="0.0">
                  <c:v>38</c:v>
                </c:pt>
                <c:pt idx="77" formatCode="0.0">
                  <c:v>38.5</c:v>
                </c:pt>
                <c:pt idx="78" formatCode="0.0">
                  <c:v>39</c:v>
                </c:pt>
                <c:pt idx="79" formatCode="0.0">
                  <c:v>39.5</c:v>
                </c:pt>
                <c:pt idx="80" formatCode="0.0">
                  <c:v>40</c:v>
                </c:pt>
                <c:pt idx="81" formatCode="0.0">
                  <c:v>40.5</c:v>
                </c:pt>
                <c:pt idx="82" formatCode="0.0">
                  <c:v>41</c:v>
                </c:pt>
                <c:pt idx="83" formatCode="0.0">
                  <c:v>41.5</c:v>
                </c:pt>
                <c:pt idx="84" formatCode="0.0">
                  <c:v>42</c:v>
                </c:pt>
                <c:pt idx="85" formatCode="0.0">
                  <c:v>42.5</c:v>
                </c:pt>
                <c:pt idx="86" formatCode="0.0">
                  <c:v>43</c:v>
                </c:pt>
                <c:pt idx="87" formatCode="0.0">
                  <c:v>43.5</c:v>
                </c:pt>
                <c:pt idx="88" formatCode="0.0">
                  <c:v>44</c:v>
                </c:pt>
                <c:pt idx="89" formatCode="0.0">
                  <c:v>44.5</c:v>
                </c:pt>
                <c:pt idx="90" formatCode="0.0">
                  <c:v>45</c:v>
                </c:pt>
                <c:pt idx="91" formatCode="0.0">
                  <c:v>45.5</c:v>
                </c:pt>
                <c:pt idx="92" formatCode="0.0">
                  <c:v>46</c:v>
                </c:pt>
                <c:pt idx="93" formatCode="0.0">
                  <c:v>46.5</c:v>
                </c:pt>
                <c:pt idx="94" formatCode="0.0">
                  <c:v>47</c:v>
                </c:pt>
                <c:pt idx="95" formatCode="0.0">
                  <c:v>47.5</c:v>
                </c:pt>
                <c:pt idx="96" formatCode="0.0">
                  <c:v>48</c:v>
                </c:pt>
                <c:pt idx="97" formatCode="0.0">
                  <c:v>48.5</c:v>
                </c:pt>
                <c:pt idx="98" formatCode="0.0">
                  <c:v>49</c:v>
                </c:pt>
                <c:pt idx="99" formatCode="0.0">
                  <c:v>49.5</c:v>
                </c:pt>
                <c:pt idx="100" formatCode="0.0">
                  <c:v>50</c:v>
                </c:pt>
                <c:pt idx="101" formatCode="0.0">
                  <c:v>50.5</c:v>
                </c:pt>
                <c:pt idx="102" formatCode="0.0">
                  <c:v>51</c:v>
                </c:pt>
                <c:pt idx="103" formatCode="0.0">
                  <c:v>51.5</c:v>
                </c:pt>
                <c:pt idx="104" formatCode="0.0">
                  <c:v>52</c:v>
                </c:pt>
                <c:pt idx="105" formatCode="0.0">
                  <c:v>52.5</c:v>
                </c:pt>
                <c:pt idx="106" formatCode="0.0">
                  <c:v>53</c:v>
                </c:pt>
                <c:pt idx="107" formatCode="0.0">
                  <c:v>53.5</c:v>
                </c:pt>
                <c:pt idx="108" formatCode="0.0">
                  <c:v>54</c:v>
                </c:pt>
                <c:pt idx="109" formatCode="0.0">
                  <c:v>54.5</c:v>
                </c:pt>
                <c:pt idx="110" formatCode="0.0">
                  <c:v>55</c:v>
                </c:pt>
                <c:pt idx="111" formatCode="0.0">
                  <c:v>55.5</c:v>
                </c:pt>
                <c:pt idx="112" formatCode="0.0">
                  <c:v>56</c:v>
                </c:pt>
                <c:pt idx="113" formatCode="0.0">
                  <c:v>56.5</c:v>
                </c:pt>
                <c:pt idx="114" formatCode="0.0">
                  <c:v>57</c:v>
                </c:pt>
                <c:pt idx="115" formatCode="0.0">
                  <c:v>57.5</c:v>
                </c:pt>
                <c:pt idx="116" formatCode="0.0">
                  <c:v>58</c:v>
                </c:pt>
                <c:pt idx="117" formatCode="0.0">
                  <c:v>58.5</c:v>
                </c:pt>
                <c:pt idx="118" formatCode="0.0">
                  <c:v>59</c:v>
                </c:pt>
                <c:pt idx="119" formatCode="0.0">
                  <c:v>59.5</c:v>
                </c:pt>
                <c:pt idx="120" formatCode="0.0">
                  <c:v>60</c:v>
                </c:pt>
                <c:pt idx="121" formatCode="0.0">
                  <c:v>60.5</c:v>
                </c:pt>
                <c:pt idx="122" formatCode="0.0">
                  <c:v>61</c:v>
                </c:pt>
                <c:pt idx="123" formatCode="0.0">
                  <c:v>61.5</c:v>
                </c:pt>
                <c:pt idx="124" formatCode="0.0">
                  <c:v>62</c:v>
                </c:pt>
                <c:pt idx="125" formatCode="0.0">
                  <c:v>62.5</c:v>
                </c:pt>
                <c:pt idx="126" formatCode="0.0">
                  <c:v>63</c:v>
                </c:pt>
                <c:pt idx="127" formatCode="0.0">
                  <c:v>63.5</c:v>
                </c:pt>
                <c:pt idx="128" formatCode="0.0">
                  <c:v>64</c:v>
                </c:pt>
                <c:pt idx="129" formatCode="0.0">
                  <c:v>64.5</c:v>
                </c:pt>
                <c:pt idx="130" formatCode="0.0">
                  <c:v>65</c:v>
                </c:pt>
                <c:pt idx="131" formatCode="0.0">
                  <c:v>65.5</c:v>
                </c:pt>
                <c:pt idx="132" formatCode="0.0">
                  <c:v>66</c:v>
                </c:pt>
                <c:pt idx="133" formatCode="0.0">
                  <c:v>66.5</c:v>
                </c:pt>
                <c:pt idx="134" formatCode="0.0">
                  <c:v>67</c:v>
                </c:pt>
                <c:pt idx="135" formatCode="0.0">
                  <c:v>67.5</c:v>
                </c:pt>
                <c:pt idx="136" formatCode="0.0">
                  <c:v>68</c:v>
                </c:pt>
                <c:pt idx="137" formatCode="0.0">
                  <c:v>68.5</c:v>
                </c:pt>
                <c:pt idx="138" formatCode="0.0">
                  <c:v>69</c:v>
                </c:pt>
                <c:pt idx="139" formatCode="0.0">
                  <c:v>69.5</c:v>
                </c:pt>
                <c:pt idx="140" formatCode="0.0">
                  <c:v>70</c:v>
                </c:pt>
                <c:pt idx="141" formatCode="0.0">
                  <c:v>70.5</c:v>
                </c:pt>
                <c:pt idx="142" formatCode="0.0">
                  <c:v>71</c:v>
                </c:pt>
                <c:pt idx="143" formatCode="0.0">
                  <c:v>71.5</c:v>
                </c:pt>
                <c:pt idx="144" formatCode="0.0">
                  <c:v>72</c:v>
                </c:pt>
                <c:pt idx="145" formatCode="0.0">
                  <c:v>72.5</c:v>
                </c:pt>
                <c:pt idx="146" formatCode="0.0">
                  <c:v>73</c:v>
                </c:pt>
                <c:pt idx="147" formatCode="0.0">
                  <c:v>73.5</c:v>
                </c:pt>
                <c:pt idx="148" formatCode="0.0">
                  <c:v>74</c:v>
                </c:pt>
                <c:pt idx="149" formatCode="0.0">
                  <c:v>74.5</c:v>
                </c:pt>
                <c:pt idx="150" formatCode="0.0">
                  <c:v>75</c:v>
                </c:pt>
                <c:pt idx="151" formatCode="0.0">
                  <c:v>75.5</c:v>
                </c:pt>
                <c:pt idx="152" formatCode="0.0">
                  <c:v>76</c:v>
                </c:pt>
                <c:pt idx="153" formatCode="0.0">
                  <c:v>76.5</c:v>
                </c:pt>
                <c:pt idx="154" formatCode="0.0">
                  <c:v>77</c:v>
                </c:pt>
                <c:pt idx="155" formatCode="0.0">
                  <c:v>77.5</c:v>
                </c:pt>
                <c:pt idx="156" formatCode="0.0">
                  <c:v>78</c:v>
                </c:pt>
                <c:pt idx="157" formatCode="0.0">
                  <c:v>78.5</c:v>
                </c:pt>
                <c:pt idx="158" formatCode="0.0">
                  <c:v>79</c:v>
                </c:pt>
                <c:pt idx="159" formatCode="0.0">
                  <c:v>79.5</c:v>
                </c:pt>
                <c:pt idx="160" formatCode="0.0">
                  <c:v>80</c:v>
                </c:pt>
                <c:pt idx="161" formatCode="0.0">
                  <c:v>80.5</c:v>
                </c:pt>
                <c:pt idx="162" formatCode="0.0">
                  <c:v>81</c:v>
                </c:pt>
                <c:pt idx="163" formatCode="0.0">
                  <c:v>81.5</c:v>
                </c:pt>
                <c:pt idx="164" formatCode="0.0">
                  <c:v>82</c:v>
                </c:pt>
                <c:pt idx="165" formatCode="0.0">
                  <c:v>82.5</c:v>
                </c:pt>
                <c:pt idx="166" formatCode="0.0">
                  <c:v>83</c:v>
                </c:pt>
                <c:pt idx="167" formatCode="0.0">
                  <c:v>83.5</c:v>
                </c:pt>
                <c:pt idx="168" formatCode="0.0">
                  <c:v>84</c:v>
                </c:pt>
                <c:pt idx="169" formatCode="0.0">
                  <c:v>84.5</c:v>
                </c:pt>
                <c:pt idx="170" formatCode="0.0">
                  <c:v>85</c:v>
                </c:pt>
                <c:pt idx="171" formatCode="0.0">
                  <c:v>85.5</c:v>
                </c:pt>
                <c:pt idx="172" formatCode="0.0">
                  <c:v>86</c:v>
                </c:pt>
                <c:pt idx="173" formatCode="0.0">
                  <c:v>86.5</c:v>
                </c:pt>
                <c:pt idx="174" formatCode="0.0">
                  <c:v>87</c:v>
                </c:pt>
                <c:pt idx="175" formatCode="0.0">
                  <c:v>87.5</c:v>
                </c:pt>
                <c:pt idx="176" formatCode="0.0">
                  <c:v>88</c:v>
                </c:pt>
                <c:pt idx="177" formatCode="0.0">
                  <c:v>88.5</c:v>
                </c:pt>
                <c:pt idx="178" formatCode="0.0">
                  <c:v>89</c:v>
                </c:pt>
                <c:pt idx="179" formatCode="0.0">
                  <c:v>89.5</c:v>
                </c:pt>
                <c:pt idx="180" formatCode="0.0">
                  <c:v>90</c:v>
                </c:pt>
                <c:pt idx="181" formatCode="0.0">
                  <c:v>90.5</c:v>
                </c:pt>
                <c:pt idx="182" formatCode="0.0">
                  <c:v>91</c:v>
                </c:pt>
                <c:pt idx="183" formatCode="0.0">
                  <c:v>91.5</c:v>
                </c:pt>
                <c:pt idx="184" formatCode="0.0">
                  <c:v>92</c:v>
                </c:pt>
                <c:pt idx="185" formatCode="0.0">
                  <c:v>92.5</c:v>
                </c:pt>
                <c:pt idx="186" formatCode="0.0">
                  <c:v>93</c:v>
                </c:pt>
                <c:pt idx="187" formatCode="0.0">
                  <c:v>93.5</c:v>
                </c:pt>
                <c:pt idx="188" formatCode="0.0">
                  <c:v>94</c:v>
                </c:pt>
                <c:pt idx="189" formatCode="0.0">
                  <c:v>94.5</c:v>
                </c:pt>
                <c:pt idx="190" formatCode="0.0">
                  <c:v>95</c:v>
                </c:pt>
                <c:pt idx="191" formatCode="0.0">
                  <c:v>95.5</c:v>
                </c:pt>
                <c:pt idx="192" formatCode="0.0">
                  <c:v>96</c:v>
                </c:pt>
                <c:pt idx="193" formatCode="0.0">
                  <c:v>96.5</c:v>
                </c:pt>
                <c:pt idx="194" formatCode="0.0">
                  <c:v>97</c:v>
                </c:pt>
                <c:pt idx="195" formatCode="0.0">
                  <c:v>97.5</c:v>
                </c:pt>
                <c:pt idx="196" formatCode="0.0">
                  <c:v>98</c:v>
                </c:pt>
                <c:pt idx="197" formatCode="0.0">
                  <c:v>98.5</c:v>
                </c:pt>
                <c:pt idx="198" formatCode="0.0">
                  <c:v>99</c:v>
                </c:pt>
                <c:pt idx="199" formatCode="0.0">
                  <c:v>99.5</c:v>
                </c:pt>
                <c:pt idx="200" formatCode="0.0">
                  <c:v>100</c:v>
                </c:pt>
                <c:pt idx="201" formatCode="0.0">
                  <c:v>100.5</c:v>
                </c:pt>
                <c:pt idx="202" formatCode="0.0">
                  <c:v>101</c:v>
                </c:pt>
                <c:pt idx="203" formatCode="0.0">
                  <c:v>101.5</c:v>
                </c:pt>
                <c:pt idx="204" formatCode="0.0">
                  <c:v>102</c:v>
                </c:pt>
                <c:pt idx="205" formatCode="0.0">
                  <c:v>102.5</c:v>
                </c:pt>
                <c:pt idx="206" formatCode="0.0">
                  <c:v>103</c:v>
                </c:pt>
                <c:pt idx="207" formatCode="0.0">
                  <c:v>103.5</c:v>
                </c:pt>
                <c:pt idx="208" formatCode="0.0">
                  <c:v>104</c:v>
                </c:pt>
                <c:pt idx="209" formatCode="0.0">
                  <c:v>104.5</c:v>
                </c:pt>
                <c:pt idx="210" formatCode="0.0">
                  <c:v>105</c:v>
                </c:pt>
                <c:pt idx="211" formatCode="0.0">
                  <c:v>105.5</c:v>
                </c:pt>
                <c:pt idx="212" formatCode="0.0">
                  <c:v>106</c:v>
                </c:pt>
                <c:pt idx="213" formatCode="0.0">
                  <c:v>106.5</c:v>
                </c:pt>
                <c:pt idx="214" formatCode="0.0">
                  <c:v>107</c:v>
                </c:pt>
                <c:pt idx="215" formatCode="0.0">
                  <c:v>107.5</c:v>
                </c:pt>
                <c:pt idx="216" formatCode="0.0">
                  <c:v>108</c:v>
                </c:pt>
                <c:pt idx="217" formatCode="0.0">
                  <c:v>108.5</c:v>
                </c:pt>
                <c:pt idx="218" formatCode="0.0">
                  <c:v>109</c:v>
                </c:pt>
                <c:pt idx="219" formatCode="0.0">
                  <c:v>109.5</c:v>
                </c:pt>
                <c:pt idx="220" formatCode="0.0">
                  <c:v>110</c:v>
                </c:pt>
                <c:pt idx="221" formatCode="0.0">
                  <c:v>110.5</c:v>
                </c:pt>
                <c:pt idx="222" formatCode="0.0">
                  <c:v>111</c:v>
                </c:pt>
                <c:pt idx="223" formatCode="0.0">
                  <c:v>111.5</c:v>
                </c:pt>
                <c:pt idx="224" formatCode="0.0">
                  <c:v>112</c:v>
                </c:pt>
                <c:pt idx="225" formatCode="0.0">
                  <c:v>112.5</c:v>
                </c:pt>
                <c:pt idx="226" formatCode="0.0">
                  <c:v>113</c:v>
                </c:pt>
                <c:pt idx="227" formatCode="0.0">
                  <c:v>113.5</c:v>
                </c:pt>
                <c:pt idx="228" formatCode="0.0">
                  <c:v>114</c:v>
                </c:pt>
                <c:pt idx="229" formatCode="0.0">
                  <c:v>114.5</c:v>
                </c:pt>
                <c:pt idx="230" formatCode="0.0">
                  <c:v>115</c:v>
                </c:pt>
                <c:pt idx="231" formatCode="0.0">
                  <c:v>115.5</c:v>
                </c:pt>
                <c:pt idx="232" formatCode="0.0">
                  <c:v>116</c:v>
                </c:pt>
                <c:pt idx="233" formatCode="0.0">
                  <c:v>116.5</c:v>
                </c:pt>
                <c:pt idx="234" formatCode="0.0">
                  <c:v>117</c:v>
                </c:pt>
                <c:pt idx="235" formatCode="0.0">
                  <c:v>117.5</c:v>
                </c:pt>
                <c:pt idx="236" formatCode="0.0">
                  <c:v>118</c:v>
                </c:pt>
                <c:pt idx="237" formatCode="0.0">
                  <c:v>118.5</c:v>
                </c:pt>
                <c:pt idx="238" formatCode="0.0">
                  <c:v>119</c:v>
                </c:pt>
                <c:pt idx="239" formatCode="0.0">
                  <c:v>119.5</c:v>
                </c:pt>
                <c:pt idx="240" formatCode="0.0">
                  <c:v>120</c:v>
                </c:pt>
              </c:numCache>
            </c:numRef>
          </c:xVal>
          <c:yVal>
            <c:numRef>
              <c:f>Berechnung_Versickerung!$G$33:$G$273</c:f>
              <c:numCache>
                <c:formatCode>0.0</c:formatCode>
                <c:ptCount val="241"/>
                <c:pt idx="0">
                  <c:v>0</c:v>
                </c:pt>
                <c:pt idx="1">
                  <c:v>0.43161128822304001</c:v>
                </c:pt>
                <c:pt idx="2">
                  <c:v>0.86322257644608003</c:v>
                </c:pt>
                <c:pt idx="3">
                  <c:v>1.29483386466912</c:v>
                </c:pt>
                <c:pt idx="4">
                  <c:v>1.7264451528921601</c:v>
                </c:pt>
                <c:pt idx="5">
                  <c:v>2.1580564411152001</c:v>
                </c:pt>
                <c:pt idx="6">
                  <c:v>2.58966772933824</c:v>
                </c:pt>
                <c:pt idx="7">
                  <c:v>3.0212790175612798</c:v>
                </c:pt>
                <c:pt idx="8">
                  <c:v>3.4528903057843201</c:v>
                </c:pt>
                <c:pt idx="9">
                  <c:v>3.8845015940073599</c:v>
                </c:pt>
                <c:pt idx="10">
                  <c:v>4.3161128822304002</c:v>
                </c:pt>
                <c:pt idx="11">
                  <c:v>4.4518300639771198</c:v>
                </c:pt>
                <c:pt idx="12">
                  <c:v>4.5337483172735995</c:v>
                </c:pt>
                <c:pt idx="13">
                  <c:v>4.6508633409778808</c:v>
                </c:pt>
                <c:pt idx="14">
                  <c:v>4.72787108221008</c:v>
                </c:pt>
                <c:pt idx="15">
                  <c:v>4.8315187569887996</c:v>
                </c:pt>
                <c:pt idx="16">
                  <c:v>4.9039587780979197</c:v>
                </c:pt>
                <c:pt idx="17">
                  <c:v>4.9973642886699592</c:v>
                </c:pt>
                <c:pt idx="18">
                  <c:v>5.0657001624115203</c:v>
                </c:pt>
                <c:pt idx="19">
                  <c:v>5.1510264431851196</c:v>
                </c:pt>
                <c:pt idx="20">
                  <c:v>5.2157104601664006</c:v>
                </c:pt>
                <c:pt idx="21">
                  <c:v>5.2944817888216802</c:v>
                </c:pt>
                <c:pt idx="22">
                  <c:v>5.3559184323004807</c:v>
                </c:pt>
                <c:pt idx="23">
                  <c:v>5.42925151876344</c:v>
                </c:pt>
                <c:pt idx="24">
                  <c:v>5.4877917572812791</c:v>
                </c:pt>
                <c:pt idx="25">
                  <c:v>5.5565306391989999</c:v>
                </c:pt>
                <c:pt idx="26">
                  <c:v>5.6124759924792</c:v>
                </c:pt>
                <c:pt idx="27">
                  <c:v>5.6772751643737198</c:v>
                </c:pt>
                <c:pt idx="28">
                  <c:v>5.7308843148345607</c:v>
                </c:pt>
                <c:pt idx="29">
                  <c:v>5.7922622609712002</c:v>
                </c:pt>
                <c:pt idx="30">
                  <c:v>5.8437576903024002</c:v>
                </c:pt>
                <c:pt idx="31">
                  <c:v>5.9021326641877208</c:v>
                </c:pt>
                <c:pt idx="32">
                  <c:v>5.9517065445811204</c:v>
                </c:pt>
                <c:pt idx="33">
                  <c:v>6.007421228688</c:v>
                </c:pt>
                <c:pt idx="34">
                  <c:v>6.0552403888305601</c:v>
                </c:pt>
                <c:pt idx="35">
                  <c:v>6.1085793674261994</c:v>
                </c:pt>
                <c:pt idx="36">
                  <c:v>6.1547894130528</c:v>
                </c:pt>
                <c:pt idx="37">
                  <c:v>6.2059918180934401</c:v>
                </c:pt>
                <c:pt idx="38">
                  <c:v>6.2507204951587205</c:v>
                </c:pt>
                <c:pt idx="39">
                  <c:v>6.2999893751651994</c:v>
                </c:pt>
                <c:pt idx="40">
                  <c:v>6.3433493441663993</c:v>
                </c:pt>
                <c:pt idx="41">
                  <c:v>6.3908587100357996</c:v>
                </c:pt>
                <c:pt idx="42">
                  <c:v>6.4329498140644796</c:v>
                </c:pt>
                <c:pt idx="43">
                  <c:v>6.4788500314176005</c:v>
                </c:pt>
                <c:pt idx="44">
                  <c:v>6.5197611671702411</c:v>
                </c:pt>
                <c:pt idx="45">
                  <c:v>6.5641831376760003</c:v>
                </c:pt>
                <c:pt idx="46">
                  <c:v>6.6039938006414403</c:v>
                </c:pt>
                <c:pt idx="47">
                  <c:v>6.647052251905321</c:v>
                </c:pt>
                <c:pt idx="48">
                  <c:v>6.6858338252390404</c:v>
                </c:pt>
                <c:pt idx="49">
                  <c:v>6.7276299277950002</c:v>
                </c:pt>
                <c:pt idx="50">
                  <c:v>6.7654467608760003</c:v>
                </c:pt>
                <c:pt idx="51">
                  <c:v>6.8060702292156012</c:v>
                </c:pt>
                <c:pt idx="52">
                  <c:v>6.842980541991361</c:v>
                </c:pt>
                <c:pt idx="53">
                  <c:v>6.882511336208279</c:v>
                </c:pt>
                <c:pt idx="54">
                  <c:v>6.9185679800313595</c:v>
                </c:pt>
                <c:pt idx="55">
                  <c:v>6.9570777061500007</c:v>
                </c:pt>
                <c:pt idx="56">
                  <c:v>6.9923288176089597</c:v>
                </c:pt>
                <c:pt idx="57">
                  <c:v>7.0298818736256008</c:v>
                </c:pt>
                <c:pt idx="58">
                  <c:v>7.0643714223235214</c:v>
                </c:pt>
                <c:pt idx="59">
                  <c:v>7.1010259620915601</c:v>
                </c:pt>
                <c:pt idx="60">
                  <c:v>7.1347942317744009</c:v>
                </c:pt>
                <c:pt idx="61">
                  <c:v>7.1706029605562396</c:v>
                </c:pt>
                <c:pt idx="62">
                  <c:v>7.2036869513572803</c:v>
                </c:pt>
                <c:pt idx="63">
                  <c:v>7.2386978111532017</c:v>
                </c:pt>
                <c:pt idx="64">
                  <c:v>7.2711316030310407</c:v>
                </c:pt>
                <c:pt idx="65">
                  <c:v>7.3053883312409997</c:v>
                </c:pt>
                <c:pt idx="66">
                  <c:v>7.3372033762790396</c:v>
                </c:pt>
                <c:pt idx="67">
                  <c:v>7.3707460043872803</c:v>
                </c:pt>
                <c:pt idx="68">
                  <c:v>7.4019714050323202</c:v>
                </c:pt>
                <c:pt idx="69">
                  <c:v>7.4348366734033196</c:v>
                </c:pt>
                <c:pt idx="70">
                  <c:v>7.4654994127223997</c:v>
                </c:pt>
                <c:pt idx="71">
                  <c:v>7.4977211272467592</c:v>
                </c:pt>
                <c:pt idx="72">
                  <c:v>7.5278462705856013</c:v>
                </c:pt>
                <c:pt idx="73">
                  <c:v>7.5594556253653202</c:v>
                </c:pt>
                <c:pt idx="74">
                  <c:v>7.5890665125931189</c:v>
                </c:pt>
                <c:pt idx="75">
                  <c:v>7.6200923479229994</c:v>
                </c:pt>
                <c:pt idx="76">
                  <c:v>7.6492107401184004</c:v>
                </c:pt>
                <c:pt idx="77">
                  <c:v>7.6796797810840802</c:v>
                </c:pt>
                <c:pt idx="78">
                  <c:v>7.7083260046790389</c:v>
                </c:pt>
                <c:pt idx="79">
                  <c:v>7.7382630727454398</c:v>
                </c:pt>
                <c:pt idx="80">
                  <c:v>7.7664561503232008</c:v>
                </c:pt>
                <c:pt idx="81">
                  <c:v>7.7958843502568387</c:v>
                </c:pt>
                <c:pt idx="82">
                  <c:v>7.8236421180436801</c:v>
                </c:pt>
                <c:pt idx="83">
                  <c:v>7.852582977488761</c:v>
                </c:pt>
                <c:pt idx="84">
                  <c:v>7.8799221643967998</c:v>
                </c:pt>
                <c:pt idx="85">
                  <c:v>7.9083958018907996</c:v>
                </c:pt>
                <c:pt idx="86">
                  <c:v>7.9353321462153596</c:v>
                </c:pt>
                <c:pt idx="87">
                  <c:v>7.9633573697343598</c:v>
                </c:pt>
                <c:pt idx="88">
                  <c:v>7.9899056718623997</c:v>
                </c:pt>
                <c:pt idx="89">
                  <c:v>8.0175001205023193</c:v>
                </c:pt>
                <c:pt idx="90">
                  <c:v>8.0436743459063997</c:v>
                </c:pt>
                <c:pt idx="91">
                  <c:v>8.0708545620939596</c:v>
                </c:pt>
                <c:pt idx="92">
                  <c:v>8.0966678784307202</c:v>
                </c:pt>
                <c:pt idx="93">
                  <c:v>8.1234494169548412</c:v>
                </c:pt>
                <c:pt idx="94">
                  <c:v>8.1489142733063993</c:v>
                </c:pt>
                <c:pt idx="95">
                  <c:v>8.1753117712253989</c:v>
                </c:pt>
                <c:pt idx="96">
                  <c:v>8.2004399411558389</c:v>
                </c:pt>
                <c:pt idx="97">
                  <c:v>8.2264671961252809</c:v>
                </c:pt>
                <c:pt idx="98">
                  <c:v>8.2512698326531204</c:v>
                </c:pt>
                <c:pt idx="99">
                  <c:v>8.2769398630221609</c:v>
                </c:pt>
                <c:pt idx="100">
                  <c:v>8.3014275378240008</c:v>
                </c:pt>
                <c:pt idx="101">
                  <c:v>8.3267526457504815</c:v>
                </c:pt>
                <c:pt idx="102">
                  <c:v>8.3509353939254396</c:v>
                </c:pt>
                <c:pt idx="103">
                  <c:v>8.3759272124837985</c:v>
                </c:pt>
                <c:pt idx="104">
                  <c:v>8.3998145631379213</c:v>
                </c:pt>
                <c:pt idx="105">
                  <c:v>8.4244841127216006</c:v>
                </c:pt>
                <c:pt idx="106">
                  <c:v>8.4480851309121601</c:v>
                </c:pt>
                <c:pt idx="107">
                  <c:v>8.4724428636882223</c:v>
                </c:pt>
                <c:pt idx="108">
                  <c:v>8.495766181818432</c:v>
                </c:pt>
                <c:pt idx="109">
                  <c:v>8.5198220084352965</c:v>
                </c:pt>
                <c:pt idx="110">
                  <c:v>8.5428758410142418</c:v>
                </c:pt>
                <c:pt idx="111">
                  <c:v>8.5666391821780934</c:v>
                </c:pt>
                <c:pt idx="112">
                  <c:v>8.5894313671891194</c:v>
                </c:pt>
                <c:pt idx="113">
                  <c:v>8.6129111798989797</c:v>
                </c:pt>
                <c:pt idx="114">
                  <c:v>8.6354491954622414</c:v>
                </c:pt>
                <c:pt idx="115">
                  <c:v>8.6586540053023207</c:v>
                </c:pt>
                <c:pt idx="116">
                  <c:v>8.6809449934988159</c:v>
                </c:pt>
                <c:pt idx="117">
                  <c:v>8.7038829216640075</c:v>
                </c:pt>
                <c:pt idx="118">
                  <c:v>8.7259337078712953</c:v>
                </c:pt>
                <c:pt idx="119">
                  <c:v>8.7486124988480416</c:v>
                </c:pt>
                <c:pt idx="120">
                  <c:v>8.7704296125177592</c:v>
                </c:pt>
                <c:pt idx="121">
                  <c:v>8.7850113426731049</c:v>
                </c:pt>
                <c:pt idx="122">
                  <c:v>8.7986260450055997</c:v>
                </c:pt>
                <c:pt idx="123">
                  <c:v>8.8130652240767766</c:v>
                </c:pt>
                <c:pt idx="124">
                  <c:v>8.8265665054805762</c:v>
                </c:pt>
                <c:pt idx="125">
                  <c:v>8.8408669783754998</c:v>
                </c:pt>
                <c:pt idx="126">
                  <c:v>8.8542573470295824</c:v>
                </c:pt>
                <c:pt idx="127">
                  <c:v>8.8684227908669762</c:v>
                </c:pt>
                <c:pt idx="128">
                  <c:v>8.8817046687221755</c:v>
                </c:pt>
                <c:pt idx="129">
                  <c:v>8.8957386030237124</c:v>
                </c:pt>
                <c:pt idx="130">
                  <c:v>8.9089143298303206</c:v>
                </c:pt>
                <c:pt idx="131">
                  <c:v>8.9228201245877621</c:v>
                </c:pt>
                <c:pt idx="132">
                  <c:v>8.9358919603303679</c:v>
                </c:pt>
                <c:pt idx="133">
                  <c:v>8.9496728451451428</c:v>
                </c:pt>
                <c:pt idx="134">
                  <c:v>8.9626429740742086</c:v>
                </c:pt>
                <c:pt idx="135">
                  <c:v>8.9763020472135597</c:v>
                </c:pt>
                <c:pt idx="136">
                  <c:v>8.9891725822464021</c:v>
                </c:pt>
                <c:pt idx="137">
                  <c:v>9.0027128157116625</c:v>
                </c:pt>
                <c:pt idx="138">
                  <c:v>9.0154857991950728</c:v>
                </c:pt>
                <c:pt idx="139">
                  <c:v>9.0289100483219986</c:v>
                </c:pt>
                <c:pt idx="140">
                  <c:v>9.0415874577638409</c:v>
                </c:pt>
                <c:pt idx="141">
                  <c:v>9.0548984666523253</c:v>
                </c:pt>
                <c:pt idx="142">
                  <c:v>9.067482216552623</c:v>
                </c:pt>
                <c:pt idx="143">
                  <c:v>9.0806826229204809</c:v>
                </c:pt>
                <c:pt idx="144">
                  <c:v>9.0931745663205117</c:v>
                </c:pt>
                <c:pt idx="145">
                  <c:v>9.1062669078388225</c:v>
                </c:pt>
                <c:pt idx="146">
                  <c:v>9.1186688396456663</c:v>
                </c:pt>
                <c:pt idx="147">
                  <c:v>9.1316555608937406</c:v>
                </c:pt>
                <c:pt idx="148">
                  <c:v>9.1439692220786881</c:v>
                </c:pt>
                <c:pt idx="149">
                  <c:v>9.1568526756125515</c:v>
                </c:pt>
                <c:pt idx="150">
                  <c:v>9.1690797516659988</c:v>
                </c:pt>
                <c:pt idx="151">
                  <c:v>9.1818622067964952</c:v>
                </c:pt>
                <c:pt idx="152">
                  <c:v>9.1940043342023028</c:v>
                </c:pt>
                <c:pt idx="153">
                  <c:v>9.2066879768123879</c:v>
                </c:pt>
                <c:pt idx="154">
                  <c:v>9.2187467406249617</c:v>
                </c:pt>
                <c:pt idx="155">
                  <c:v>9.231333682325161</c:v>
                </c:pt>
                <c:pt idx="156">
                  <c:v>9.2433106233786244</c:v>
                </c:pt>
                <c:pt idx="157">
                  <c:v>9.2558029002320268</c:v>
                </c:pt>
                <c:pt idx="158">
                  <c:v>9.2676995119348327</c:v>
                </c:pt>
                <c:pt idx="159">
                  <c:v>9.2800990911777106</c:v>
                </c:pt>
                <c:pt idx="160">
                  <c:v>9.2919168245491193</c:v>
                </c:pt>
                <c:pt idx="161">
                  <c:v>9.3042256063227242</c:v>
                </c:pt>
                <c:pt idx="162">
                  <c:v>9.3159658701040318</c:v>
                </c:pt>
                <c:pt idx="163">
                  <c:v>9.328185691764201</c:v>
                </c:pt>
                <c:pt idx="164">
                  <c:v>9.3398498552587181</c:v>
                </c:pt>
                <c:pt idx="165">
                  <c:v>9.3519824934214792</c:v>
                </c:pt>
                <c:pt idx="166">
                  <c:v>9.3635718871499041</c:v>
                </c:pt>
                <c:pt idx="167">
                  <c:v>9.3756190600190408</c:v>
                </c:pt>
                <c:pt idx="168">
                  <c:v>9.3871349767601284</c:v>
                </c:pt>
                <c:pt idx="169">
                  <c:v>9.3990983488022408</c:v>
                </c:pt>
                <c:pt idx="170">
                  <c:v>9.4105420471000816</c:v>
                </c:pt>
                <c:pt idx="171">
                  <c:v>9.4224232280714428</c:v>
                </c:pt>
                <c:pt idx="172">
                  <c:v>9.433795930110433</c:v>
                </c:pt>
                <c:pt idx="173">
                  <c:v>9.4455964809156843</c:v>
                </c:pt>
                <c:pt idx="174">
                  <c:v>9.4568993773862395</c:v>
                </c:pt>
                <c:pt idx="175">
                  <c:v>9.4686208106742011</c:v>
                </c:pt>
                <c:pt idx="176">
                  <c:v>9.479855060383489</c:v>
                </c:pt>
                <c:pt idx="177">
                  <c:v>9.4914988415600039</c:v>
                </c:pt>
                <c:pt idx="178">
                  <c:v>9.5026655715312476</c:v>
                </c:pt>
                <c:pt idx="179">
                  <c:v>9.5142331221115697</c:v>
                </c:pt>
                <c:pt idx="180">
                  <c:v>9.5253334301102388</c:v>
                </c:pt>
                <c:pt idx="181">
                  <c:v>9.5368261289900538</c:v>
                </c:pt>
                <c:pt idx="182">
                  <c:v>9.5478610840005107</c:v>
                </c:pt>
                <c:pt idx="183">
                  <c:v>9.5592802705024678</c:v>
                </c:pt>
                <c:pt idx="184">
                  <c:v>9.5702509150515844</c:v>
                </c:pt>
                <c:pt idx="185">
                  <c:v>9.5815978891040388</c:v>
                </c:pt>
                <c:pt idx="186">
                  <c:v>9.5925052387329117</c:v>
                </c:pt>
                <c:pt idx="187">
                  <c:v>9.6037812612631566</c:v>
                </c:pt>
                <c:pt idx="188">
                  <c:v>9.614626304260991</c:v>
                </c:pt>
                <c:pt idx="189">
                  <c:v>9.6258326011394395</c:v>
                </c:pt>
                <c:pt idx="190">
                  <c:v>9.636616301907841</c:v>
                </c:pt>
                <c:pt idx="191">
                  <c:v>9.6477540666887158</c:v>
                </c:pt>
                <c:pt idx="192">
                  <c:v>9.6584773679262721</c:v>
                </c:pt>
                <c:pt idx="193">
                  <c:v>9.6695477566522339</c:v>
                </c:pt>
                <c:pt idx="194">
                  <c:v>9.6802115735554075</c:v>
                </c:pt>
                <c:pt idx="195">
                  <c:v>9.6912157145286582</c:v>
                </c:pt>
                <c:pt idx="196">
                  <c:v>9.7018209441498247</c:v>
                </c:pt>
                <c:pt idx="197">
                  <c:v>9.7127599327049765</c:v>
                </c:pt>
                <c:pt idx="198">
                  <c:v>9.7233074481850554</c:v>
                </c:pt>
                <c:pt idx="199">
                  <c:v>9.7341823492868045</c:v>
                </c:pt>
                <c:pt idx="200">
                  <c:v>9.7446730020239993</c:v>
                </c:pt>
                <c:pt idx="201">
                  <c:v>9.7554848542828196</c:v>
                </c:pt>
                <c:pt idx="202">
                  <c:v>9.7659194775590379</c:v>
                </c:pt>
                <c:pt idx="203">
                  <c:v>9.7766692916860816</c:v>
                </c:pt>
                <c:pt idx="204">
                  <c:v>9.7870486987008007</c:v>
                </c:pt>
                <c:pt idx="205">
                  <c:v>9.7977374583221408</c:v>
                </c:pt>
                <c:pt idx="206">
                  <c:v>9.8080624426332967</c:v>
                </c:pt>
                <c:pt idx="207">
                  <c:v>9.8186911061528157</c:v>
                </c:pt>
                <c:pt idx="208">
                  <c:v>9.8289624431980798</c:v>
                </c:pt>
                <c:pt idx="209">
                  <c:v>9.8395319436107744</c:v>
                </c:pt>
                <c:pt idx="210">
                  <c:v>9.8497503901792811</c:v>
                </c:pt>
                <c:pt idx="211">
                  <c:v>9.8602616395397646</c:v>
                </c:pt>
                <c:pt idx="212">
                  <c:v>9.8704279379625603</c:v>
                </c:pt>
                <c:pt idx="213">
                  <c:v>9.8808818217249605</c:v>
                </c:pt>
                <c:pt idx="214">
                  <c:v>9.8909966938574421</c:v>
                </c:pt>
                <c:pt idx="215">
                  <c:v>9.9013940792960398</c:v>
                </c:pt>
                <c:pt idx="216">
                  <c:v>9.9114582347320326</c:v>
                </c:pt>
                <c:pt idx="217">
                  <c:v>9.921799964331866</c:v>
                </c:pt>
                <c:pt idx="218">
                  <c:v>9.9318140934605754</c:v>
                </c:pt>
                <c:pt idx="219">
                  <c:v>9.9421009910938789</c:v>
                </c:pt>
                <c:pt idx="220">
                  <c:v>9.9520657710777591</c:v>
                </c:pt>
                <c:pt idx="221">
                  <c:v>9.9622986399663471</c:v>
                </c:pt>
                <c:pt idx="222">
                  <c:v>9.9722147324412962</c:v>
                </c:pt>
                <c:pt idx="223">
                  <c:v>9.9823943577462959</c:v>
                </c:pt>
                <c:pt idx="224">
                  <c:v>9.9922624112048659</c:v>
                </c:pt>
                <c:pt idx="225">
                  <c:v>10.002389557802401</c:v>
                </c:pt>
                <c:pt idx="226">
                  <c:v>10.012210205131153</c:v>
                </c:pt>
                <c:pt idx="227">
                  <c:v>10.022285621171255</c:v>
                </c:pt>
                <c:pt idx="228">
                  <c:v>10.03205948303491</c:v>
                </c:pt>
                <c:pt idx="229">
                  <c:v>10.042083899723064</c:v>
                </c:pt>
                <c:pt idx="230">
                  <c:v>10.05181158414744</c:v>
                </c:pt>
                <c:pt idx="231">
                  <c:v>10.061785713416977</c:v>
                </c:pt>
                <c:pt idx="232">
                  <c:v>10.071467813254849</c:v>
                </c:pt>
                <c:pt idx="233">
                  <c:v>10.081392354380341</c:v>
                </c:pt>
                <c:pt idx="234">
                  <c:v>10.091029453805664</c:v>
                </c:pt>
                <c:pt idx="235">
                  <c:v>10.100905086233459</c:v>
                </c:pt>
                <c:pt idx="236">
                  <c:v>10.110497753341535</c:v>
                </c:pt>
                <c:pt idx="237">
                  <c:v>10.120325144141232</c:v>
                </c:pt>
                <c:pt idx="238">
                  <c:v>10.129873938304847</c:v>
                </c:pt>
                <c:pt idx="239">
                  <c:v>10.139653738606404</c:v>
                </c:pt>
                <c:pt idx="240">
                  <c:v>10.149159206730241</c:v>
                </c:pt>
              </c:numCache>
            </c:numRef>
          </c:yVal>
          <c:smooth val="0"/>
          <c:extLst>
            <c:ext xmlns:c16="http://schemas.microsoft.com/office/drawing/2014/chart" uri="{C3380CC4-5D6E-409C-BE32-E72D297353CC}">
              <c16:uniqueId val="{00000001-39DE-4285-A2F0-A795081249C5}"/>
            </c:ext>
          </c:extLst>
        </c:ser>
        <c:ser>
          <c:idx val="1"/>
          <c:order val="2"/>
          <c:tx>
            <c:strRef>
              <c:f>Berechnung_Versickerung!$H$31:$H$32</c:f>
              <c:strCache>
                <c:ptCount val="2"/>
                <c:pt idx="0">
                  <c:v>versickerbares Q</c:v>
                </c:pt>
                <c:pt idx="1">
                  <c:v>m3</c:v>
                </c:pt>
              </c:strCache>
            </c:strRef>
          </c:tx>
          <c:spPr>
            <a:ln w="19050">
              <a:solidFill>
                <a:srgbClr val="00B0F0"/>
              </a:solidFill>
            </a:ln>
          </c:spPr>
          <c:marker>
            <c:symbol val="none"/>
          </c:marker>
          <c:xVal>
            <c:numRef>
              <c:f>Berechnung_Versickerung!$B$33:$B$273</c:f>
              <c:numCache>
                <c:formatCode>General</c:formatCode>
                <c:ptCount val="241"/>
                <c:pt idx="0">
                  <c:v>0</c:v>
                </c:pt>
                <c:pt idx="1">
                  <c:v>0.5</c:v>
                </c:pt>
                <c:pt idx="2" formatCode="0.0">
                  <c:v>1</c:v>
                </c:pt>
                <c:pt idx="3" formatCode="0.0">
                  <c:v>1.5</c:v>
                </c:pt>
                <c:pt idx="4" formatCode="0.0">
                  <c:v>2</c:v>
                </c:pt>
                <c:pt idx="5" formatCode="0.0">
                  <c:v>2.5</c:v>
                </c:pt>
                <c:pt idx="6" formatCode="0.0">
                  <c:v>3</c:v>
                </c:pt>
                <c:pt idx="7" formatCode="0.0">
                  <c:v>3.5</c:v>
                </c:pt>
                <c:pt idx="8" formatCode="0.0">
                  <c:v>4</c:v>
                </c:pt>
                <c:pt idx="9" formatCode="0.0">
                  <c:v>4.5</c:v>
                </c:pt>
                <c:pt idx="10" formatCode="0.0">
                  <c:v>5</c:v>
                </c:pt>
                <c:pt idx="11" formatCode="0.0">
                  <c:v>5.5</c:v>
                </c:pt>
                <c:pt idx="12" formatCode="0.0">
                  <c:v>6</c:v>
                </c:pt>
                <c:pt idx="13" formatCode="0.0">
                  <c:v>6.5</c:v>
                </c:pt>
                <c:pt idx="14" formatCode="0.0">
                  <c:v>7</c:v>
                </c:pt>
                <c:pt idx="15" formatCode="0.0">
                  <c:v>7.5</c:v>
                </c:pt>
                <c:pt idx="16" formatCode="0.0">
                  <c:v>8</c:v>
                </c:pt>
                <c:pt idx="17" formatCode="0.0">
                  <c:v>8.5</c:v>
                </c:pt>
                <c:pt idx="18" formatCode="0.0">
                  <c:v>9</c:v>
                </c:pt>
                <c:pt idx="19" formatCode="0.0">
                  <c:v>9.5</c:v>
                </c:pt>
                <c:pt idx="20" formatCode="0.0">
                  <c:v>10</c:v>
                </c:pt>
                <c:pt idx="21" formatCode="0.0">
                  <c:v>10.5</c:v>
                </c:pt>
                <c:pt idx="22" formatCode="0.0">
                  <c:v>11</c:v>
                </c:pt>
                <c:pt idx="23" formatCode="0.0">
                  <c:v>11.5</c:v>
                </c:pt>
                <c:pt idx="24" formatCode="0.0">
                  <c:v>12</c:v>
                </c:pt>
                <c:pt idx="25" formatCode="0.0">
                  <c:v>12.5</c:v>
                </c:pt>
                <c:pt idx="26" formatCode="0.0">
                  <c:v>13</c:v>
                </c:pt>
                <c:pt idx="27" formatCode="0.0">
                  <c:v>13.5</c:v>
                </c:pt>
                <c:pt idx="28" formatCode="0.0">
                  <c:v>14</c:v>
                </c:pt>
                <c:pt idx="29" formatCode="0.0">
                  <c:v>14.5</c:v>
                </c:pt>
                <c:pt idx="30" formatCode="0.0">
                  <c:v>15</c:v>
                </c:pt>
                <c:pt idx="31" formatCode="0.0">
                  <c:v>15.5</c:v>
                </c:pt>
                <c:pt idx="32" formatCode="0.0">
                  <c:v>16</c:v>
                </c:pt>
                <c:pt idx="33" formatCode="0.0">
                  <c:v>16.5</c:v>
                </c:pt>
                <c:pt idx="34" formatCode="0.0">
                  <c:v>17</c:v>
                </c:pt>
                <c:pt idx="35" formatCode="0.0">
                  <c:v>17.5</c:v>
                </c:pt>
                <c:pt idx="36" formatCode="0.0">
                  <c:v>18</c:v>
                </c:pt>
                <c:pt idx="37" formatCode="0.0">
                  <c:v>18.5</c:v>
                </c:pt>
                <c:pt idx="38" formatCode="0.0">
                  <c:v>19</c:v>
                </c:pt>
                <c:pt idx="39" formatCode="0.0">
                  <c:v>19.5</c:v>
                </c:pt>
                <c:pt idx="40" formatCode="0.0">
                  <c:v>20</c:v>
                </c:pt>
                <c:pt idx="41" formatCode="0.0">
                  <c:v>20.5</c:v>
                </c:pt>
                <c:pt idx="42" formatCode="0.0">
                  <c:v>21</c:v>
                </c:pt>
                <c:pt idx="43" formatCode="0.0">
                  <c:v>21.5</c:v>
                </c:pt>
                <c:pt idx="44" formatCode="0.0">
                  <c:v>22</c:v>
                </c:pt>
                <c:pt idx="45" formatCode="0.0">
                  <c:v>22.5</c:v>
                </c:pt>
                <c:pt idx="46" formatCode="0.0">
                  <c:v>23</c:v>
                </c:pt>
                <c:pt idx="47" formatCode="0.0">
                  <c:v>23.5</c:v>
                </c:pt>
                <c:pt idx="48" formatCode="0.0">
                  <c:v>24</c:v>
                </c:pt>
                <c:pt idx="49" formatCode="0.0">
                  <c:v>24.5</c:v>
                </c:pt>
                <c:pt idx="50" formatCode="0.0">
                  <c:v>25</c:v>
                </c:pt>
                <c:pt idx="51" formatCode="0.0">
                  <c:v>25.5</c:v>
                </c:pt>
                <c:pt idx="52" formatCode="0.0">
                  <c:v>26</c:v>
                </c:pt>
                <c:pt idx="53" formatCode="0.0">
                  <c:v>26.5</c:v>
                </c:pt>
                <c:pt idx="54" formatCode="0.0">
                  <c:v>27</c:v>
                </c:pt>
                <c:pt idx="55" formatCode="0.0">
                  <c:v>27.5</c:v>
                </c:pt>
                <c:pt idx="56" formatCode="0.0">
                  <c:v>28</c:v>
                </c:pt>
                <c:pt idx="57" formatCode="0.0">
                  <c:v>28.5</c:v>
                </c:pt>
                <c:pt idx="58" formatCode="0.0">
                  <c:v>29</c:v>
                </c:pt>
                <c:pt idx="59" formatCode="0.0">
                  <c:v>29.5</c:v>
                </c:pt>
                <c:pt idx="60" formatCode="0.0">
                  <c:v>30</c:v>
                </c:pt>
                <c:pt idx="61" formatCode="0.0">
                  <c:v>30.5</c:v>
                </c:pt>
                <c:pt idx="62" formatCode="0.0">
                  <c:v>31</c:v>
                </c:pt>
                <c:pt idx="63" formatCode="0.0">
                  <c:v>31.5</c:v>
                </c:pt>
                <c:pt idx="64" formatCode="0.0">
                  <c:v>32</c:v>
                </c:pt>
                <c:pt idx="65" formatCode="0.0">
                  <c:v>32.5</c:v>
                </c:pt>
                <c:pt idx="66" formatCode="0.0">
                  <c:v>33</c:v>
                </c:pt>
                <c:pt idx="67" formatCode="0.0">
                  <c:v>33.5</c:v>
                </c:pt>
                <c:pt idx="68" formatCode="0.0">
                  <c:v>34</c:v>
                </c:pt>
                <c:pt idx="69" formatCode="0.0">
                  <c:v>34.5</c:v>
                </c:pt>
                <c:pt idx="70" formatCode="0.0">
                  <c:v>35</c:v>
                </c:pt>
                <c:pt idx="71" formatCode="0.0">
                  <c:v>35.5</c:v>
                </c:pt>
                <c:pt idx="72" formatCode="0.0">
                  <c:v>36</c:v>
                </c:pt>
                <c:pt idx="73" formatCode="0.0">
                  <c:v>36.5</c:v>
                </c:pt>
                <c:pt idx="74" formatCode="0.0">
                  <c:v>37</c:v>
                </c:pt>
                <c:pt idx="75" formatCode="0.0">
                  <c:v>37.5</c:v>
                </c:pt>
                <c:pt idx="76" formatCode="0.0">
                  <c:v>38</c:v>
                </c:pt>
                <c:pt idx="77" formatCode="0.0">
                  <c:v>38.5</c:v>
                </c:pt>
                <c:pt idx="78" formatCode="0.0">
                  <c:v>39</c:v>
                </c:pt>
                <c:pt idx="79" formatCode="0.0">
                  <c:v>39.5</c:v>
                </c:pt>
                <c:pt idx="80" formatCode="0.0">
                  <c:v>40</c:v>
                </c:pt>
                <c:pt idx="81" formatCode="0.0">
                  <c:v>40.5</c:v>
                </c:pt>
                <c:pt idx="82" formatCode="0.0">
                  <c:v>41</c:v>
                </c:pt>
                <c:pt idx="83" formatCode="0.0">
                  <c:v>41.5</c:v>
                </c:pt>
                <c:pt idx="84" formatCode="0.0">
                  <c:v>42</c:v>
                </c:pt>
                <c:pt idx="85" formatCode="0.0">
                  <c:v>42.5</c:v>
                </c:pt>
                <c:pt idx="86" formatCode="0.0">
                  <c:v>43</c:v>
                </c:pt>
                <c:pt idx="87" formatCode="0.0">
                  <c:v>43.5</c:v>
                </c:pt>
                <c:pt idx="88" formatCode="0.0">
                  <c:v>44</c:v>
                </c:pt>
                <c:pt idx="89" formatCode="0.0">
                  <c:v>44.5</c:v>
                </c:pt>
                <c:pt idx="90" formatCode="0.0">
                  <c:v>45</c:v>
                </c:pt>
                <c:pt idx="91" formatCode="0.0">
                  <c:v>45.5</c:v>
                </c:pt>
                <c:pt idx="92" formatCode="0.0">
                  <c:v>46</c:v>
                </c:pt>
                <c:pt idx="93" formatCode="0.0">
                  <c:v>46.5</c:v>
                </c:pt>
                <c:pt idx="94" formatCode="0.0">
                  <c:v>47</c:v>
                </c:pt>
                <c:pt idx="95" formatCode="0.0">
                  <c:v>47.5</c:v>
                </c:pt>
                <c:pt idx="96" formatCode="0.0">
                  <c:v>48</c:v>
                </c:pt>
                <c:pt idx="97" formatCode="0.0">
                  <c:v>48.5</c:v>
                </c:pt>
                <c:pt idx="98" formatCode="0.0">
                  <c:v>49</c:v>
                </c:pt>
                <c:pt idx="99" formatCode="0.0">
                  <c:v>49.5</c:v>
                </c:pt>
                <c:pt idx="100" formatCode="0.0">
                  <c:v>50</c:v>
                </c:pt>
                <c:pt idx="101" formatCode="0.0">
                  <c:v>50.5</c:v>
                </c:pt>
                <c:pt idx="102" formatCode="0.0">
                  <c:v>51</c:v>
                </c:pt>
                <c:pt idx="103" formatCode="0.0">
                  <c:v>51.5</c:v>
                </c:pt>
                <c:pt idx="104" formatCode="0.0">
                  <c:v>52</c:v>
                </c:pt>
                <c:pt idx="105" formatCode="0.0">
                  <c:v>52.5</c:v>
                </c:pt>
                <c:pt idx="106" formatCode="0.0">
                  <c:v>53</c:v>
                </c:pt>
                <c:pt idx="107" formatCode="0.0">
                  <c:v>53.5</c:v>
                </c:pt>
                <c:pt idx="108" formatCode="0.0">
                  <c:v>54</c:v>
                </c:pt>
                <c:pt idx="109" formatCode="0.0">
                  <c:v>54.5</c:v>
                </c:pt>
                <c:pt idx="110" formatCode="0.0">
                  <c:v>55</c:v>
                </c:pt>
                <c:pt idx="111" formatCode="0.0">
                  <c:v>55.5</c:v>
                </c:pt>
                <c:pt idx="112" formatCode="0.0">
                  <c:v>56</c:v>
                </c:pt>
                <c:pt idx="113" formatCode="0.0">
                  <c:v>56.5</c:v>
                </c:pt>
                <c:pt idx="114" formatCode="0.0">
                  <c:v>57</c:v>
                </c:pt>
                <c:pt idx="115" formatCode="0.0">
                  <c:v>57.5</c:v>
                </c:pt>
                <c:pt idx="116" formatCode="0.0">
                  <c:v>58</c:v>
                </c:pt>
                <c:pt idx="117" formatCode="0.0">
                  <c:v>58.5</c:v>
                </c:pt>
                <c:pt idx="118" formatCode="0.0">
                  <c:v>59</c:v>
                </c:pt>
                <c:pt idx="119" formatCode="0.0">
                  <c:v>59.5</c:v>
                </c:pt>
                <c:pt idx="120" formatCode="0.0">
                  <c:v>60</c:v>
                </c:pt>
                <c:pt idx="121" formatCode="0.0">
                  <c:v>60.5</c:v>
                </c:pt>
                <c:pt idx="122" formatCode="0.0">
                  <c:v>61</c:v>
                </c:pt>
                <c:pt idx="123" formatCode="0.0">
                  <c:v>61.5</c:v>
                </c:pt>
                <c:pt idx="124" formatCode="0.0">
                  <c:v>62</c:v>
                </c:pt>
                <c:pt idx="125" formatCode="0.0">
                  <c:v>62.5</c:v>
                </c:pt>
                <c:pt idx="126" formatCode="0.0">
                  <c:v>63</c:v>
                </c:pt>
                <c:pt idx="127" formatCode="0.0">
                  <c:v>63.5</c:v>
                </c:pt>
                <c:pt idx="128" formatCode="0.0">
                  <c:v>64</c:v>
                </c:pt>
                <c:pt idx="129" formatCode="0.0">
                  <c:v>64.5</c:v>
                </c:pt>
                <c:pt idx="130" formatCode="0.0">
                  <c:v>65</c:v>
                </c:pt>
                <c:pt idx="131" formatCode="0.0">
                  <c:v>65.5</c:v>
                </c:pt>
                <c:pt idx="132" formatCode="0.0">
                  <c:v>66</c:v>
                </c:pt>
                <c:pt idx="133" formatCode="0.0">
                  <c:v>66.5</c:v>
                </c:pt>
                <c:pt idx="134" formatCode="0.0">
                  <c:v>67</c:v>
                </c:pt>
                <c:pt idx="135" formatCode="0.0">
                  <c:v>67.5</c:v>
                </c:pt>
                <c:pt idx="136" formatCode="0.0">
                  <c:v>68</c:v>
                </c:pt>
                <c:pt idx="137" formatCode="0.0">
                  <c:v>68.5</c:v>
                </c:pt>
                <c:pt idx="138" formatCode="0.0">
                  <c:v>69</c:v>
                </c:pt>
                <c:pt idx="139" formatCode="0.0">
                  <c:v>69.5</c:v>
                </c:pt>
                <c:pt idx="140" formatCode="0.0">
                  <c:v>70</c:v>
                </c:pt>
                <c:pt idx="141" formatCode="0.0">
                  <c:v>70.5</c:v>
                </c:pt>
                <c:pt idx="142" formatCode="0.0">
                  <c:v>71</c:v>
                </c:pt>
                <c:pt idx="143" formatCode="0.0">
                  <c:v>71.5</c:v>
                </c:pt>
                <c:pt idx="144" formatCode="0.0">
                  <c:v>72</c:v>
                </c:pt>
                <c:pt idx="145" formatCode="0.0">
                  <c:v>72.5</c:v>
                </c:pt>
                <c:pt idx="146" formatCode="0.0">
                  <c:v>73</c:v>
                </c:pt>
                <c:pt idx="147" formatCode="0.0">
                  <c:v>73.5</c:v>
                </c:pt>
                <c:pt idx="148" formatCode="0.0">
                  <c:v>74</c:v>
                </c:pt>
                <c:pt idx="149" formatCode="0.0">
                  <c:v>74.5</c:v>
                </c:pt>
                <c:pt idx="150" formatCode="0.0">
                  <c:v>75</c:v>
                </c:pt>
                <c:pt idx="151" formatCode="0.0">
                  <c:v>75.5</c:v>
                </c:pt>
                <c:pt idx="152" formatCode="0.0">
                  <c:v>76</c:v>
                </c:pt>
                <c:pt idx="153" formatCode="0.0">
                  <c:v>76.5</c:v>
                </c:pt>
                <c:pt idx="154" formatCode="0.0">
                  <c:v>77</c:v>
                </c:pt>
                <c:pt idx="155" formatCode="0.0">
                  <c:v>77.5</c:v>
                </c:pt>
                <c:pt idx="156" formatCode="0.0">
                  <c:v>78</c:v>
                </c:pt>
                <c:pt idx="157" formatCode="0.0">
                  <c:v>78.5</c:v>
                </c:pt>
                <c:pt idx="158" formatCode="0.0">
                  <c:v>79</c:v>
                </c:pt>
                <c:pt idx="159" formatCode="0.0">
                  <c:v>79.5</c:v>
                </c:pt>
                <c:pt idx="160" formatCode="0.0">
                  <c:v>80</c:v>
                </c:pt>
                <c:pt idx="161" formatCode="0.0">
                  <c:v>80.5</c:v>
                </c:pt>
                <c:pt idx="162" formatCode="0.0">
                  <c:v>81</c:v>
                </c:pt>
                <c:pt idx="163" formatCode="0.0">
                  <c:v>81.5</c:v>
                </c:pt>
                <c:pt idx="164" formatCode="0.0">
                  <c:v>82</c:v>
                </c:pt>
                <c:pt idx="165" formatCode="0.0">
                  <c:v>82.5</c:v>
                </c:pt>
                <c:pt idx="166" formatCode="0.0">
                  <c:v>83</c:v>
                </c:pt>
                <c:pt idx="167" formatCode="0.0">
                  <c:v>83.5</c:v>
                </c:pt>
                <c:pt idx="168" formatCode="0.0">
                  <c:v>84</c:v>
                </c:pt>
                <c:pt idx="169" formatCode="0.0">
                  <c:v>84.5</c:v>
                </c:pt>
                <c:pt idx="170" formatCode="0.0">
                  <c:v>85</c:v>
                </c:pt>
                <c:pt idx="171" formatCode="0.0">
                  <c:v>85.5</c:v>
                </c:pt>
                <c:pt idx="172" formatCode="0.0">
                  <c:v>86</c:v>
                </c:pt>
                <c:pt idx="173" formatCode="0.0">
                  <c:v>86.5</c:v>
                </c:pt>
                <c:pt idx="174" formatCode="0.0">
                  <c:v>87</c:v>
                </c:pt>
                <c:pt idx="175" formatCode="0.0">
                  <c:v>87.5</c:v>
                </c:pt>
                <c:pt idx="176" formatCode="0.0">
                  <c:v>88</c:v>
                </c:pt>
                <c:pt idx="177" formatCode="0.0">
                  <c:v>88.5</c:v>
                </c:pt>
                <c:pt idx="178" formatCode="0.0">
                  <c:v>89</c:v>
                </c:pt>
                <c:pt idx="179" formatCode="0.0">
                  <c:v>89.5</c:v>
                </c:pt>
                <c:pt idx="180" formatCode="0.0">
                  <c:v>90</c:v>
                </c:pt>
                <c:pt idx="181" formatCode="0.0">
                  <c:v>90.5</c:v>
                </c:pt>
                <c:pt idx="182" formatCode="0.0">
                  <c:v>91</c:v>
                </c:pt>
                <c:pt idx="183" formatCode="0.0">
                  <c:v>91.5</c:v>
                </c:pt>
                <c:pt idx="184" formatCode="0.0">
                  <c:v>92</c:v>
                </c:pt>
                <c:pt idx="185" formatCode="0.0">
                  <c:v>92.5</c:v>
                </c:pt>
                <c:pt idx="186" formatCode="0.0">
                  <c:v>93</c:v>
                </c:pt>
                <c:pt idx="187" formatCode="0.0">
                  <c:v>93.5</c:v>
                </c:pt>
                <c:pt idx="188" formatCode="0.0">
                  <c:v>94</c:v>
                </c:pt>
                <c:pt idx="189" formatCode="0.0">
                  <c:v>94.5</c:v>
                </c:pt>
                <c:pt idx="190" formatCode="0.0">
                  <c:v>95</c:v>
                </c:pt>
                <c:pt idx="191" formatCode="0.0">
                  <c:v>95.5</c:v>
                </c:pt>
                <c:pt idx="192" formatCode="0.0">
                  <c:v>96</c:v>
                </c:pt>
                <c:pt idx="193" formatCode="0.0">
                  <c:v>96.5</c:v>
                </c:pt>
                <c:pt idx="194" formatCode="0.0">
                  <c:v>97</c:v>
                </c:pt>
                <c:pt idx="195" formatCode="0.0">
                  <c:v>97.5</c:v>
                </c:pt>
                <c:pt idx="196" formatCode="0.0">
                  <c:v>98</c:v>
                </c:pt>
                <c:pt idx="197" formatCode="0.0">
                  <c:v>98.5</c:v>
                </c:pt>
                <c:pt idx="198" formatCode="0.0">
                  <c:v>99</c:v>
                </c:pt>
                <c:pt idx="199" formatCode="0.0">
                  <c:v>99.5</c:v>
                </c:pt>
                <c:pt idx="200" formatCode="0.0">
                  <c:v>100</c:v>
                </c:pt>
                <c:pt idx="201" formatCode="0.0">
                  <c:v>100.5</c:v>
                </c:pt>
                <c:pt idx="202" formatCode="0.0">
                  <c:v>101</c:v>
                </c:pt>
                <c:pt idx="203" formatCode="0.0">
                  <c:v>101.5</c:v>
                </c:pt>
                <c:pt idx="204" formatCode="0.0">
                  <c:v>102</c:v>
                </c:pt>
                <c:pt idx="205" formatCode="0.0">
                  <c:v>102.5</c:v>
                </c:pt>
                <c:pt idx="206" formatCode="0.0">
                  <c:v>103</c:v>
                </c:pt>
                <c:pt idx="207" formatCode="0.0">
                  <c:v>103.5</c:v>
                </c:pt>
                <c:pt idx="208" formatCode="0.0">
                  <c:v>104</c:v>
                </c:pt>
                <c:pt idx="209" formatCode="0.0">
                  <c:v>104.5</c:v>
                </c:pt>
                <c:pt idx="210" formatCode="0.0">
                  <c:v>105</c:v>
                </c:pt>
                <c:pt idx="211" formatCode="0.0">
                  <c:v>105.5</c:v>
                </c:pt>
                <c:pt idx="212" formatCode="0.0">
                  <c:v>106</c:v>
                </c:pt>
                <c:pt idx="213" formatCode="0.0">
                  <c:v>106.5</c:v>
                </c:pt>
                <c:pt idx="214" formatCode="0.0">
                  <c:v>107</c:v>
                </c:pt>
                <c:pt idx="215" formatCode="0.0">
                  <c:v>107.5</c:v>
                </c:pt>
                <c:pt idx="216" formatCode="0.0">
                  <c:v>108</c:v>
                </c:pt>
                <c:pt idx="217" formatCode="0.0">
                  <c:v>108.5</c:v>
                </c:pt>
                <c:pt idx="218" formatCode="0.0">
                  <c:v>109</c:v>
                </c:pt>
                <c:pt idx="219" formatCode="0.0">
                  <c:v>109.5</c:v>
                </c:pt>
                <c:pt idx="220" formatCode="0.0">
                  <c:v>110</c:v>
                </c:pt>
                <c:pt idx="221" formatCode="0.0">
                  <c:v>110.5</c:v>
                </c:pt>
                <c:pt idx="222" formatCode="0.0">
                  <c:v>111</c:v>
                </c:pt>
                <c:pt idx="223" formatCode="0.0">
                  <c:v>111.5</c:v>
                </c:pt>
                <c:pt idx="224" formatCode="0.0">
                  <c:v>112</c:v>
                </c:pt>
                <c:pt idx="225" formatCode="0.0">
                  <c:v>112.5</c:v>
                </c:pt>
                <c:pt idx="226" formatCode="0.0">
                  <c:v>113</c:v>
                </c:pt>
                <c:pt idx="227" formatCode="0.0">
                  <c:v>113.5</c:v>
                </c:pt>
                <c:pt idx="228" formatCode="0.0">
                  <c:v>114</c:v>
                </c:pt>
                <c:pt idx="229" formatCode="0.0">
                  <c:v>114.5</c:v>
                </c:pt>
                <c:pt idx="230" formatCode="0.0">
                  <c:v>115</c:v>
                </c:pt>
                <c:pt idx="231" formatCode="0.0">
                  <c:v>115.5</c:v>
                </c:pt>
                <c:pt idx="232" formatCode="0.0">
                  <c:v>116</c:v>
                </c:pt>
                <c:pt idx="233" formatCode="0.0">
                  <c:v>116.5</c:v>
                </c:pt>
                <c:pt idx="234" formatCode="0.0">
                  <c:v>117</c:v>
                </c:pt>
                <c:pt idx="235" formatCode="0.0">
                  <c:v>117.5</c:v>
                </c:pt>
                <c:pt idx="236" formatCode="0.0">
                  <c:v>118</c:v>
                </c:pt>
                <c:pt idx="237" formatCode="0.0">
                  <c:v>118.5</c:v>
                </c:pt>
                <c:pt idx="238" formatCode="0.0">
                  <c:v>119</c:v>
                </c:pt>
                <c:pt idx="239" formatCode="0.0">
                  <c:v>119.5</c:v>
                </c:pt>
                <c:pt idx="240" formatCode="0.0">
                  <c:v>120</c:v>
                </c:pt>
              </c:numCache>
            </c:numRef>
          </c:xVal>
          <c:yVal>
            <c:numRef>
              <c:f>Berechnung_Versickerung!$H$33:$H$273</c:f>
              <c:numCache>
                <c:formatCode>0.0</c:formatCode>
                <c:ptCount val="241"/>
                <c:pt idx="0">
                  <c:v>0</c:v>
                </c:pt>
                <c:pt idx="1">
                  <c:v>0.05</c:v>
                </c:pt>
                <c:pt idx="2">
                  <c:v>0.1</c:v>
                </c:pt>
                <c:pt idx="3">
                  <c:v>0.15</c:v>
                </c:pt>
                <c:pt idx="4">
                  <c:v>0.2</c:v>
                </c:pt>
                <c:pt idx="5">
                  <c:v>0.25</c:v>
                </c:pt>
                <c:pt idx="6">
                  <c:v>0.3</c:v>
                </c:pt>
                <c:pt idx="7">
                  <c:v>0.35</c:v>
                </c:pt>
                <c:pt idx="8">
                  <c:v>0.4</c:v>
                </c:pt>
                <c:pt idx="9">
                  <c:v>0.45000000000000007</c:v>
                </c:pt>
                <c:pt idx="10">
                  <c:v>0.5</c:v>
                </c:pt>
                <c:pt idx="11">
                  <c:v>0.55000000000000004</c:v>
                </c:pt>
                <c:pt idx="12">
                  <c:v>0.6</c:v>
                </c:pt>
                <c:pt idx="13">
                  <c:v>0.65</c:v>
                </c:pt>
                <c:pt idx="14">
                  <c:v>0.7</c:v>
                </c:pt>
                <c:pt idx="15">
                  <c:v>0.75</c:v>
                </c:pt>
                <c:pt idx="16">
                  <c:v>0.8</c:v>
                </c:pt>
                <c:pt idx="17">
                  <c:v>0.85000000000000009</c:v>
                </c:pt>
                <c:pt idx="18">
                  <c:v>0.90000000000000013</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1.6500000000000001</c:v>
                </c:pt>
                <c:pt idx="34">
                  <c:v>1.7000000000000002</c:v>
                </c:pt>
                <c:pt idx="35">
                  <c:v>1.7500000000000002</c:v>
                </c:pt>
                <c:pt idx="36">
                  <c:v>1.8000000000000003</c:v>
                </c:pt>
                <c:pt idx="37">
                  <c:v>1.8500000000000003</c:v>
                </c:pt>
                <c:pt idx="38">
                  <c:v>1.9</c:v>
                </c:pt>
                <c:pt idx="39">
                  <c:v>1.95</c:v>
                </c:pt>
                <c:pt idx="40">
                  <c:v>2</c:v>
                </c:pt>
                <c:pt idx="41">
                  <c:v>2.0500000000000003</c:v>
                </c:pt>
                <c:pt idx="42">
                  <c:v>2.1</c:v>
                </c:pt>
                <c:pt idx="43">
                  <c:v>2.1500000000000004</c:v>
                </c:pt>
                <c:pt idx="44">
                  <c:v>2.2000000000000002</c:v>
                </c:pt>
                <c:pt idx="45">
                  <c:v>2.2500000000000004</c:v>
                </c:pt>
                <c:pt idx="46">
                  <c:v>2.2999999999999998</c:v>
                </c:pt>
                <c:pt idx="47">
                  <c:v>2.35</c:v>
                </c:pt>
                <c:pt idx="48">
                  <c:v>2.4</c:v>
                </c:pt>
                <c:pt idx="49">
                  <c:v>2.4500000000000002</c:v>
                </c:pt>
                <c:pt idx="50">
                  <c:v>2.5</c:v>
                </c:pt>
                <c:pt idx="51">
                  <c:v>2.5500000000000003</c:v>
                </c:pt>
                <c:pt idx="52">
                  <c:v>2.6</c:v>
                </c:pt>
                <c:pt idx="53">
                  <c:v>2.6500000000000004</c:v>
                </c:pt>
                <c:pt idx="54">
                  <c:v>2.7</c:v>
                </c:pt>
                <c:pt idx="55">
                  <c:v>2.75</c:v>
                </c:pt>
                <c:pt idx="56">
                  <c:v>2.8</c:v>
                </c:pt>
                <c:pt idx="57">
                  <c:v>2.85</c:v>
                </c:pt>
                <c:pt idx="58">
                  <c:v>2.9</c:v>
                </c:pt>
                <c:pt idx="59">
                  <c:v>2.95</c:v>
                </c:pt>
                <c:pt idx="60">
                  <c:v>3</c:v>
                </c:pt>
                <c:pt idx="61">
                  <c:v>3.0500000000000003</c:v>
                </c:pt>
                <c:pt idx="62">
                  <c:v>3.1</c:v>
                </c:pt>
                <c:pt idx="63">
                  <c:v>3.15</c:v>
                </c:pt>
                <c:pt idx="64">
                  <c:v>3.2</c:v>
                </c:pt>
                <c:pt idx="65">
                  <c:v>3.25</c:v>
                </c:pt>
                <c:pt idx="66">
                  <c:v>3.3000000000000003</c:v>
                </c:pt>
                <c:pt idx="67">
                  <c:v>3.3499999999999996</c:v>
                </c:pt>
                <c:pt idx="68">
                  <c:v>3.4000000000000004</c:v>
                </c:pt>
                <c:pt idx="69">
                  <c:v>3.4499999999999997</c:v>
                </c:pt>
                <c:pt idx="70">
                  <c:v>3.5000000000000004</c:v>
                </c:pt>
                <c:pt idx="71">
                  <c:v>3.55</c:v>
                </c:pt>
                <c:pt idx="72">
                  <c:v>3.6000000000000005</c:v>
                </c:pt>
                <c:pt idx="73">
                  <c:v>3.65</c:v>
                </c:pt>
                <c:pt idx="74">
                  <c:v>3.7000000000000006</c:v>
                </c:pt>
                <c:pt idx="75">
                  <c:v>3.75</c:v>
                </c:pt>
                <c:pt idx="76">
                  <c:v>3.8</c:v>
                </c:pt>
                <c:pt idx="77">
                  <c:v>3.85</c:v>
                </c:pt>
                <c:pt idx="78">
                  <c:v>3.9</c:v>
                </c:pt>
                <c:pt idx="79">
                  <c:v>3.95</c:v>
                </c:pt>
                <c:pt idx="80">
                  <c:v>4</c:v>
                </c:pt>
                <c:pt idx="81">
                  <c:v>4.0500000000000007</c:v>
                </c:pt>
                <c:pt idx="82">
                  <c:v>4.1000000000000005</c:v>
                </c:pt>
                <c:pt idx="83">
                  <c:v>4.1500000000000004</c:v>
                </c:pt>
                <c:pt idx="84">
                  <c:v>4.2</c:v>
                </c:pt>
                <c:pt idx="85">
                  <c:v>4.25</c:v>
                </c:pt>
                <c:pt idx="86">
                  <c:v>4.3000000000000007</c:v>
                </c:pt>
                <c:pt idx="87">
                  <c:v>4.3499999999999996</c:v>
                </c:pt>
                <c:pt idx="88">
                  <c:v>4.4000000000000004</c:v>
                </c:pt>
                <c:pt idx="89">
                  <c:v>4.45</c:v>
                </c:pt>
                <c:pt idx="90">
                  <c:v>4.5000000000000009</c:v>
                </c:pt>
                <c:pt idx="91">
                  <c:v>4.55</c:v>
                </c:pt>
                <c:pt idx="92">
                  <c:v>4.5999999999999996</c:v>
                </c:pt>
                <c:pt idx="93">
                  <c:v>4.6500000000000004</c:v>
                </c:pt>
                <c:pt idx="94">
                  <c:v>4.7</c:v>
                </c:pt>
                <c:pt idx="95">
                  <c:v>4.75</c:v>
                </c:pt>
                <c:pt idx="96">
                  <c:v>4.8</c:v>
                </c:pt>
                <c:pt idx="97">
                  <c:v>4.8500000000000005</c:v>
                </c:pt>
                <c:pt idx="98">
                  <c:v>4.9000000000000004</c:v>
                </c:pt>
                <c:pt idx="99">
                  <c:v>4.95</c:v>
                </c:pt>
                <c:pt idx="100">
                  <c:v>5</c:v>
                </c:pt>
                <c:pt idx="101">
                  <c:v>5.05</c:v>
                </c:pt>
                <c:pt idx="102">
                  <c:v>5.1000000000000005</c:v>
                </c:pt>
                <c:pt idx="103">
                  <c:v>5.15</c:v>
                </c:pt>
                <c:pt idx="104">
                  <c:v>5.2</c:v>
                </c:pt>
                <c:pt idx="105">
                  <c:v>5.25</c:v>
                </c:pt>
                <c:pt idx="106">
                  <c:v>5.3000000000000007</c:v>
                </c:pt>
                <c:pt idx="107">
                  <c:v>5.3500000000000005</c:v>
                </c:pt>
                <c:pt idx="108">
                  <c:v>5.4</c:v>
                </c:pt>
                <c:pt idx="109">
                  <c:v>5.45</c:v>
                </c:pt>
                <c:pt idx="110">
                  <c:v>5.5</c:v>
                </c:pt>
                <c:pt idx="111">
                  <c:v>5.5500000000000007</c:v>
                </c:pt>
                <c:pt idx="112">
                  <c:v>5.6</c:v>
                </c:pt>
                <c:pt idx="113">
                  <c:v>5.65</c:v>
                </c:pt>
                <c:pt idx="114">
                  <c:v>5.7</c:v>
                </c:pt>
                <c:pt idx="115">
                  <c:v>5.7500000000000009</c:v>
                </c:pt>
                <c:pt idx="116">
                  <c:v>5.8</c:v>
                </c:pt>
                <c:pt idx="117">
                  <c:v>5.85</c:v>
                </c:pt>
                <c:pt idx="118">
                  <c:v>5.9</c:v>
                </c:pt>
                <c:pt idx="119">
                  <c:v>5.95</c:v>
                </c:pt>
                <c:pt idx="120">
                  <c:v>6</c:v>
                </c:pt>
                <c:pt idx="121">
                  <c:v>6.05</c:v>
                </c:pt>
                <c:pt idx="122">
                  <c:v>6.1000000000000005</c:v>
                </c:pt>
                <c:pt idx="123">
                  <c:v>6.15</c:v>
                </c:pt>
                <c:pt idx="124">
                  <c:v>6.2</c:v>
                </c:pt>
                <c:pt idx="125">
                  <c:v>6.25</c:v>
                </c:pt>
                <c:pt idx="126">
                  <c:v>6.3</c:v>
                </c:pt>
                <c:pt idx="127">
                  <c:v>6.3500000000000005</c:v>
                </c:pt>
                <c:pt idx="128">
                  <c:v>6.4</c:v>
                </c:pt>
                <c:pt idx="129">
                  <c:v>6.45</c:v>
                </c:pt>
                <c:pt idx="130">
                  <c:v>6.5</c:v>
                </c:pt>
                <c:pt idx="131">
                  <c:v>6.5500000000000007</c:v>
                </c:pt>
                <c:pt idx="132">
                  <c:v>6.6000000000000005</c:v>
                </c:pt>
                <c:pt idx="133">
                  <c:v>6.65</c:v>
                </c:pt>
                <c:pt idx="134">
                  <c:v>6.6999999999999993</c:v>
                </c:pt>
                <c:pt idx="135">
                  <c:v>6.75</c:v>
                </c:pt>
                <c:pt idx="136">
                  <c:v>6.8000000000000007</c:v>
                </c:pt>
                <c:pt idx="137">
                  <c:v>6.8500000000000005</c:v>
                </c:pt>
                <c:pt idx="138">
                  <c:v>6.8999999999999995</c:v>
                </c:pt>
                <c:pt idx="139">
                  <c:v>6.95</c:v>
                </c:pt>
                <c:pt idx="140">
                  <c:v>7.0000000000000009</c:v>
                </c:pt>
                <c:pt idx="141">
                  <c:v>7.0500000000000007</c:v>
                </c:pt>
                <c:pt idx="142">
                  <c:v>7.1</c:v>
                </c:pt>
                <c:pt idx="143">
                  <c:v>7.15</c:v>
                </c:pt>
                <c:pt idx="144">
                  <c:v>7.2000000000000011</c:v>
                </c:pt>
                <c:pt idx="145">
                  <c:v>7.25</c:v>
                </c:pt>
                <c:pt idx="146">
                  <c:v>7.3</c:v>
                </c:pt>
                <c:pt idx="147">
                  <c:v>7.3500000000000005</c:v>
                </c:pt>
                <c:pt idx="148">
                  <c:v>7.4000000000000012</c:v>
                </c:pt>
                <c:pt idx="149">
                  <c:v>7.45</c:v>
                </c:pt>
                <c:pt idx="150">
                  <c:v>7.5</c:v>
                </c:pt>
                <c:pt idx="151">
                  <c:v>7.5500000000000007</c:v>
                </c:pt>
                <c:pt idx="152">
                  <c:v>7.6</c:v>
                </c:pt>
                <c:pt idx="153">
                  <c:v>7.65</c:v>
                </c:pt>
                <c:pt idx="154">
                  <c:v>7.7</c:v>
                </c:pt>
                <c:pt idx="155">
                  <c:v>7.7500000000000009</c:v>
                </c:pt>
                <c:pt idx="156">
                  <c:v>7.8</c:v>
                </c:pt>
                <c:pt idx="157">
                  <c:v>7.8500000000000005</c:v>
                </c:pt>
                <c:pt idx="158">
                  <c:v>7.9</c:v>
                </c:pt>
                <c:pt idx="159">
                  <c:v>7.9499999999999993</c:v>
                </c:pt>
                <c:pt idx="160">
                  <c:v>8</c:v>
                </c:pt>
                <c:pt idx="161">
                  <c:v>8.0500000000000007</c:v>
                </c:pt>
                <c:pt idx="162">
                  <c:v>8.1000000000000014</c:v>
                </c:pt>
                <c:pt idx="163">
                  <c:v>8.15</c:v>
                </c:pt>
                <c:pt idx="164">
                  <c:v>8.2000000000000011</c:v>
                </c:pt>
                <c:pt idx="165">
                  <c:v>8.25</c:v>
                </c:pt>
                <c:pt idx="166">
                  <c:v>8.3000000000000007</c:v>
                </c:pt>
                <c:pt idx="167">
                  <c:v>8.35</c:v>
                </c:pt>
                <c:pt idx="168">
                  <c:v>8.4</c:v>
                </c:pt>
                <c:pt idx="169">
                  <c:v>8.4500000000000011</c:v>
                </c:pt>
                <c:pt idx="170">
                  <c:v>8.5</c:v>
                </c:pt>
                <c:pt idx="171">
                  <c:v>8.5500000000000007</c:v>
                </c:pt>
                <c:pt idx="172">
                  <c:v>8.6000000000000014</c:v>
                </c:pt>
                <c:pt idx="173">
                  <c:v>8.65</c:v>
                </c:pt>
                <c:pt idx="174">
                  <c:v>8.6999999999999993</c:v>
                </c:pt>
                <c:pt idx="175">
                  <c:v>8.75</c:v>
                </c:pt>
                <c:pt idx="176">
                  <c:v>8.8000000000000007</c:v>
                </c:pt>
                <c:pt idx="177">
                  <c:v>8.85</c:v>
                </c:pt>
                <c:pt idx="178">
                  <c:v>8.9</c:v>
                </c:pt>
                <c:pt idx="179">
                  <c:v>8.9500000000000011</c:v>
                </c:pt>
                <c:pt idx="180">
                  <c:v>9.0000000000000018</c:v>
                </c:pt>
                <c:pt idx="181">
                  <c:v>9.0500000000000007</c:v>
                </c:pt>
                <c:pt idx="182">
                  <c:v>9.1</c:v>
                </c:pt>
                <c:pt idx="183">
                  <c:v>9.15</c:v>
                </c:pt>
                <c:pt idx="184">
                  <c:v>9.1999999999999993</c:v>
                </c:pt>
                <c:pt idx="185">
                  <c:v>9.25</c:v>
                </c:pt>
                <c:pt idx="186">
                  <c:v>9.3000000000000007</c:v>
                </c:pt>
                <c:pt idx="187">
                  <c:v>9.3500000000000014</c:v>
                </c:pt>
                <c:pt idx="188">
                  <c:v>9.4</c:v>
                </c:pt>
                <c:pt idx="189">
                  <c:v>9.4500000000000011</c:v>
                </c:pt>
                <c:pt idx="190">
                  <c:v>9.5</c:v>
                </c:pt>
                <c:pt idx="191">
                  <c:v>9.5500000000000007</c:v>
                </c:pt>
                <c:pt idx="192">
                  <c:v>9.6</c:v>
                </c:pt>
                <c:pt idx="193">
                  <c:v>9.65</c:v>
                </c:pt>
                <c:pt idx="194">
                  <c:v>9.7000000000000011</c:v>
                </c:pt>
                <c:pt idx="195">
                  <c:v>9.75</c:v>
                </c:pt>
                <c:pt idx="196">
                  <c:v>9.8000000000000007</c:v>
                </c:pt>
                <c:pt idx="197">
                  <c:v>9.8500000000000014</c:v>
                </c:pt>
                <c:pt idx="198">
                  <c:v>9.9</c:v>
                </c:pt>
                <c:pt idx="199">
                  <c:v>9.9499999999999993</c:v>
                </c:pt>
                <c:pt idx="200">
                  <c:v>10</c:v>
                </c:pt>
                <c:pt idx="201">
                  <c:v>10.050000000000001</c:v>
                </c:pt>
                <c:pt idx="202">
                  <c:v>10.1</c:v>
                </c:pt>
                <c:pt idx="203">
                  <c:v>10.15</c:v>
                </c:pt>
                <c:pt idx="204">
                  <c:v>10.200000000000001</c:v>
                </c:pt>
                <c:pt idx="205">
                  <c:v>10.250000000000002</c:v>
                </c:pt>
                <c:pt idx="206">
                  <c:v>10.3</c:v>
                </c:pt>
                <c:pt idx="207">
                  <c:v>10.35</c:v>
                </c:pt>
                <c:pt idx="208">
                  <c:v>10.4</c:v>
                </c:pt>
                <c:pt idx="209">
                  <c:v>10.45</c:v>
                </c:pt>
                <c:pt idx="210">
                  <c:v>10.5</c:v>
                </c:pt>
                <c:pt idx="211">
                  <c:v>10.55</c:v>
                </c:pt>
                <c:pt idx="212">
                  <c:v>10.600000000000001</c:v>
                </c:pt>
                <c:pt idx="213">
                  <c:v>10.65</c:v>
                </c:pt>
                <c:pt idx="214">
                  <c:v>10.700000000000001</c:v>
                </c:pt>
                <c:pt idx="215">
                  <c:v>10.75</c:v>
                </c:pt>
                <c:pt idx="216">
                  <c:v>10.8</c:v>
                </c:pt>
                <c:pt idx="217">
                  <c:v>10.85</c:v>
                </c:pt>
                <c:pt idx="218">
                  <c:v>10.9</c:v>
                </c:pt>
                <c:pt idx="219">
                  <c:v>10.950000000000001</c:v>
                </c:pt>
                <c:pt idx="220">
                  <c:v>11</c:v>
                </c:pt>
                <c:pt idx="221">
                  <c:v>11.05</c:v>
                </c:pt>
                <c:pt idx="222">
                  <c:v>11.100000000000001</c:v>
                </c:pt>
                <c:pt idx="223">
                  <c:v>11.15</c:v>
                </c:pt>
                <c:pt idx="224">
                  <c:v>11.2</c:v>
                </c:pt>
                <c:pt idx="225">
                  <c:v>11.25</c:v>
                </c:pt>
                <c:pt idx="226">
                  <c:v>11.3</c:v>
                </c:pt>
                <c:pt idx="227">
                  <c:v>11.35</c:v>
                </c:pt>
                <c:pt idx="228">
                  <c:v>11.4</c:v>
                </c:pt>
                <c:pt idx="229">
                  <c:v>11.450000000000001</c:v>
                </c:pt>
                <c:pt idx="230">
                  <c:v>11.500000000000002</c:v>
                </c:pt>
                <c:pt idx="231">
                  <c:v>11.55</c:v>
                </c:pt>
                <c:pt idx="232">
                  <c:v>11.6</c:v>
                </c:pt>
                <c:pt idx="233">
                  <c:v>11.65</c:v>
                </c:pt>
                <c:pt idx="234">
                  <c:v>11.7</c:v>
                </c:pt>
                <c:pt idx="235">
                  <c:v>11.75</c:v>
                </c:pt>
                <c:pt idx="236">
                  <c:v>11.8</c:v>
                </c:pt>
                <c:pt idx="237">
                  <c:v>11.850000000000001</c:v>
                </c:pt>
                <c:pt idx="238">
                  <c:v>11.9</c:v>
                </c:pt>
                <c:pt idx="239">
                  <c:v>11.950000000000001</c:v>
                </c:pt>
                <c:pt idx="240">
                  <c:v>12</c:v>
                </c:pt>
              </c:numCache>
            </c:numRef>
          </c:yVal>
          <c:smooth val="0"/>
          <c:extLst>
            <c:ext xmlns:c16="http://schemas.microsoft.com/office/drawing/2014/chart" uri="{C3380CC4-5D6E-409C-BE32-E72D297353CC}">
              <c16:uniqueId val="{00000002-39DE-4285-A2F0-A795081249C5}"/>
            </c:ext>
          </c:extLst>
        </c:ser>
        <c:ser>
          <c:idx val="3"/>
          <c:order val="3"/>
          <c:tx>
            <c:strRef>
              <c:f>Berechnung_Versickerung!$H$30</c:f>
              <c:strCache>
                <c:ptCount val="1"/>
                <c:pt idx="0">
                  <c:v>erforderliches Vers. Volumen</c:v>
                </c:pt>
              </c:strCache>
            </c:strRef>
          </c:tx>
          <c:spPr>
            <a:ln>
              <a:noFill/>
            </a:ln>
          </c:spPr>
          <c:marker>
            <c:symbol val="triangle"/>
            <c:size val="10"/>
            <c:spPr>
              <a:solidFill>
                <a:srgbClr val="FF0000"/>
              </a:solidFill>
            </c:spPr>
          </c:marker>
          <c:xVal>
            <c:numRef>
              <c:f>Berechnung_Versickerung!$B$30</c:f>
              <c:numCache>
                <c:formatCode>0.0</c:formatCode>
                <c:ptCount val="1"/>
                <c:pt idx="0">
                  <c:v>17.5</c:v>
                </c:pt>
              </c:numCache>
            </c:numRef>
          </c:xVal>
          <c:yVal>
            <c:numRef>
              <c:f>Berechnung_Versickerung!$I$30</c:f>
              <c:numCache>
                <c:formatCode>0.0</c:formatCode>
                <c:ptCount val="1"/>
                <c:pt idx="0">
                  <c:v>4.3585793674261994</c:v>
                </c:pt>
              </c:numCache>
            </c:numRef>
          </c:yVal>
          <c:smooth val="0"/>
          <c:extLst>
            <c:ext xmlns:c16="http://schemas.microsoft.com/office/drawing/2014/chart" uri="{C3380CC4-5D6E-409C-BE32-E72D297353CC}">
              <c16:uniqueId val="{00000003-39DE-4285-A2F0-A795081249C5}"/>
            </c:ext>
          </c:extLst>
        </c:ser>
        <c:dLbls>
          <c:showLegendKey val="0"/>
          <c:showVal val="0"/>
          <c:showCatName val="0"/>
          <c:showSerName val="0"/>
          <c:showPercent val="0"/>
          <c:showBubbleSize val="0"/>
        </c:dLbls>
        <c:axId val="195561120"/>
        <c:axId val="195554848"/>
      </c:scatterChart>
      <c:valAx>
        <c:axId val="195561120"/>
        <c:scaling>
          <c:orientation val="minMax"/>
          <c:max val="120"/>
          <c:min val="0"/>
        </c:scaling>
        <c:delete val="0"/>
        <c:axPos val="b"/>
        <c:majorGridlines/>
        <c:title>
          <c:tx>
            <c:rich>
              <a:bodyPr/>
              <a:lstStyle/>
              <a:p>
                <a:pPr>
                  <a:defRPr/>
                </a:pPr>
                <a:r>
                  <a:rPr lang="en-US"/>
                  <a:t>Regendauer Minuten</a:t>
                </a:r>
              </a:p>
            </c:rich>
          </c:tx>
          <c:overlay val="0"/>
        </c:title>
        <c:numFmt formatCode="#,##0" sourceLinked="0"/>
        <c:majorTickMark val="out"/>
        <c:minorTickMark val="out"/>
        <c:tickLblPos val="nextTo"/>
        <c:crossAx val="195554848"/>
        <c:crosses val="autoZero"/>
        <c:crossBetween val="midCat"/>
        <c:majorUnit val="10"/>
        <c:minorUnit val="5"/>
      </c:valAx>
      <c:valAx>
        <c:axId val="195554848"/>
        <c:scaling>
          <c:orientation val="minMax"/>
          <c:min val="0"/>
        </c:scaling>
        <c:delete val="0"/>
        <c:axPos val="l"/>
        <c:majorGridlines/>
        <c:title>
          <c:tx>
            <c:rich>
              <a:bodyPr rot="-5400000" vert="horz"/>
              <a:lstStyle/>
              <a:p>
                <a:pPr>
                  <a:defRPr/>
                </a:pPr>
                <a:r>
                  <a:rPr lang="en-US"/>
                  <a:t>Volumen m</a:t>
                </a:r>
                <a:r>
                  <a:rPr lang="en-US" baseline="30000"/>
                  <a:t>3</a:t>
                </a:r>
              </a:p>
            </c:rich>
          </c:tx>
          <c:overlay val="0"/>
        </c:title>
        <c:numFmt formatCode="0" sourceLinked="0"/>
        <c:majorTickMark val="out"/>
        <c:minorTickMark val="none"/>
        <c:tickLblPos val="nextTo"/>
        <c:crossAx val="195561120"/>
        <c:crosses val="autoZero"/>
        <c:crossBetween val="midCat"/>
      </c:valAx>
    </c:plotArea>
    <c:legend>
      <c:legendPos val="b"/>
      <c:overlay val="0"/>
      <c:txPr>
        <a:bodyPr/>
        <a:lstStyle/>
        <a:p>
          <a:pPr>
            <a:defRPr sz="900"/>
          </a:pPr>
          <a:endParaRPr lang="de-DE"/>
        </a:p>
      </c:txPr>
    </c:legend>
    <c:plotVisOnly val="0"/>
    <c:dispBlanksAs val="gap"/>
    <c:showDLblsOverMax val="0"/>
  </c:chart>
  <c:spPr>
    <a:solidFill>
      <a:schemeClr val="bg1">
        <a:lumMod val="85000"/>
      </a:schemeClr>
    </a:solidFill>
    <a:ln w="19050"/>
  </c:spPr>
  <c:printSettings>
    <c:headerFooter/>
    <c:pageMargins b="0.78740157499999996" l="0.7" r="0.7" t="0.78740157499999996" header="0.3" footer="0.3"/>
    <c:pageSetup orientation="portrait"/>
  </c:printSettings>
</c:chartSpace>
</file>

<file path=xl/ctrlProps/ctrlProp1.xml><?xml version="1.0" encoding="utf-8"?>
<formControlPr xmlns="http://schemas.microsoft.com/office/spreadsheetml/2009/9/main" objectType="Drop" dropLines="15" dropStyle="combo" dx="22" fmlaLink="Berechnung_Einleitung!$B$8" fmlaRange="Auswahlliste!$E$2:$E$82" noThreeD="1" sel="23" val="15"/>
</file>

<file path=xl/ctrlProps/ctrlProp2.xml><?xml version="1.0" encoding="utf-8"?>
<formControlPr xmlns="http://schemas.microsoft.com/office/spreadsheetml/2009/9/main" objectType="Drop" dropLines="15" dropStyle="combo" dx="22" fmlaLink="Berechnung_Retention!$B$8" fmlaRange="Auswahlliste!$E$2:$E$82" noThreeD="1" sel="23" val="15"/>
</file>

<file path=xl/ctrlProps/ctrlProp3.xml><?xml version="1.0" encoding="utf-8"?>
<formControlPr xmlns="http://schemas.microsoft.com/office/spreadsheetml/2009/9/main" objectType="Drop" dropLines="4" dropStyle="combo" dx="22" fmlaLink="Berechnung_Retention!$B$10" fmlaRange="Auswahlliste!$I$2:$I$5" noThreeD="1" sel="3" val="0"/>
</file>

<file path=xl/ctrlProps/ctrlProp4.xml><?xml version="1.0" encoding="utf-8"?>
<formControlPr xmlns="http://schemas.microsoft.com/office/spreadsheetml/2009/9/main" objectType="Drop" dropLines="15" dropStyle="combo" dx="22" fmlaLink="Berechnung_Versickerung!$B$8" fmlaRange="Auswahlliste!$E$2:$E$82" noThreeD="1" sel="23" val="22"/>
</file>

<file path=xl/ctrlProps/ctrlProp5.xml><?xml version="1.0" encoding="utf-8"?>
<formControlPr xmlns="http://schemas.microsoft.com/office/spreadsheetml/2009/9/main" objectType="Drop" dropLines="4" dropStyle="combo" dx="22" fmlaLink="Berechnung_Versickerung!$B$10" fmlaRange="Auswahlliste!$I$2:$I$5" noThreeD="1" sel="4" val="0"/>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6</xdr:col>
          <xdr:colOff>209550</xdr:colOff>
          <xdr:row>4</xdr:row>
          <xdr:rowOff>0</xdr:rowOff>
        </xdr:to>
        <xdr:sp macro="" textlink="">
          <xdr:nvSpPr>
            <xdr:cNvPr id="17409" name="Drop Down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5</xdr:col>
          <xdr:colOff>0</xdr:colOff>
          <xdr:row>4</xdr:row>
          <xdr:rowOff>0</xdr:rowOff>
        </xdr:to>
        <xdr:sp macro="" textlink="">
          <xdr:nvSpPr>
            <xdr:cNvPr id="6148" name="Drop Down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76200</xdr:colOff>
      <xdr:row>61</xdr:row>
      <xdr:rowOff>1713</xdr:rowOff>
    </xdr:from>
    <xdr:to>
      <xdr:col>14</xdr:col>
      <xdr:colOff>454244</xdr:colOff>
      <xdr:row>72</xdr:row>
      <xdr:rowOff>174194</xdr:rowOff>
    </xdr:to>
    <xdr:graphicFrame macro="">
      <xdr:nvGraphicFramePr>
        <xdr:cNvPr id="3" name="Diagramm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514350</xdr:colOff>
          <xdr:row>54</xdr:row>
          <xdr:rowOff>0</xdr:rowOff>
        </xdr:from>
        <xdr:to>
          <xdr:col>3</xdr:col>
          <xdr:colOff>371475</xdr:colOff>
          <xdr:row>55</xdr:row>
          <xdr:rowOff>0</xdr:rowOff>
        </xdr:to>
        <xdr:sp macro="" textlink="">
          <xdr:nvSpPr>
            <xdr:cNvPr id="6150" name="Drop Down 5"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6</xdr:col>
          <xdr:colOff>19050</xdr:colOff>
          <xdr:row>4</xdr:row>
          <xdr:rowOff>0</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105104</xdr:colOff>
      <xdr:row>61</xdr:row>
      <xdr:rowOff>1713</xdr:rowOff>
    </xdr:from>
    <xdr:to>
      <xdr:col>15</xdr:col>
      <xdr:colOff>6569</xdr:colOff>
      <xdr:row>72</xdr:row>
      <xdr:rowOff>174194</xdr:rowOff>
    </xdr:to>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514350</xdr:colOff>
          <xdr:row>54</xdr:row>
          <xdr:rowOff>0</xdr:rowOff>
        </xdr:from>
        <xdr:to>
          <xdr:col>3</xdr:col>
          <xdr:colOff>400050</xdr:colOff>
          <xdr:row>55</xdr:row>
          <xdr:rowOff>0</xdr:rowOff>
        </xdr:to>
        <xdr:sp macro="" textlink="">
          <xdr:nvSpPr>
            <xdr:cNvPr id="24578" name="Drop Down 5"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310%20Tiefbau\3105%20StGallen\3105-0998%20SG,%20Tool%20Siedlungsentw&#228;sserung%20AWE%20SG\09%20Projektierung\AVA_VS_RET_Tool_AVA31_ohne_Passwort%20-%20Testen.xlsx" TargetMode="External"/><Relationship Id="rId1" Type="http://schemas.openxmlformats.org/officeDocument/2006/relationships/externalLinkPath" Target="file:///N:\310%20Tiefbau\3105%20StGallen\3105-0998%20SG,%20Tool%20Siedlungsentw&#228;sserung%20AWE%20SG\09%20Projektierung\AVA_VS_RET_Tool_AVA31_ohne_Passwort%20-%20Test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rläuterungen"/>
      <sheetName val="Versickerungsanlage"/>
      <sheetName val="Retentionsanlage"/>
      <sheetName val="Beispiele Versickerung"/>
      <sheetName val="Beispiele Retention"/>
      <sheetName val="Berechnung_Versickerung"/>
      <sheetName val="Berechnung_Retention"/>
    </sheetNames>
    <sheetDataSet>
      <sheetData sheetId="0" refreshError="1"/>
      <sheetData sheetId="1">
        <row r="6">
          <cell r="C6" t="str">
            <v>Eggersriet</v>
          </cell>
        </row>
      </sheetData>
      <sheetData sheetId="2">
        <row r="6">
          <cell r="C6" t="str">
            <v>Goldach</v>
          </cell>
        </row>
      </sheetData>
      <sheetData sheetId="3" refreshError="1"/>
      <sheetData sheetId="4" refreshError="1"/>
      <sheetData sheetId="5">
        <row r="277">
          <cell r="I277" t="str">
            <v>Gemeinde wählen</v>
          </cell>
        </row>
        <row r="278">
          <cell r="I278" t="str">
            <v>Eggersriet</v>
          </cell>
        </row>
        <row r="279">
          <cell r="I279" t="str">
            <v>Goldach</v>
          </cell>
        </row>
        <row r="280">
          <cell r="I280" t="str">
            <v>Grub AR</v>
          </cell>
        </row>
        <row r="281">
          <cell r="I281" t="str">
            <v>Heiden</v>
          </cell>
        </row>
        <row r="282">
          <cell r="I282" t="str">
            <v>Lutzenberg</v>
          </cell>
        </row>
        <row r="283">
          <cell r="I283" t="str">
            <v>Rehetobel</v>
          </cell>
        </row>
        <row r="284">
          <cell r="I284" t="str">
            <v>Rheineck</v>
          </cell>
        </row>
        <row r="285">
          <cell r="I285" t="str">
            <v>Rorschach</v>
          </cell>
        </row>
        <row r="286">
          <cell r="I286" t="str">
            <v>Rorschacherberg</v>
          </cell>
        </row>
        <row r="287">
          <cell r="I287" t="str">
            <v>Speicher</v>
          </cell>
        </row>
        <row r="288">
          <cell r="I288" t="str">
            <v>St. Margrethen</v>
          </cell>
        </row>
        <row r="289">
          <cell r="I289" t="str">
            <v>Thal</v>
          </cell>
        </row>
        <row r="290">
          <cell r="I290" t="str">
            <v>Trogen</v>
          </cell>
        </row>
        <row r="291">
          <cell r="I291" t="str">
            <v>Untereggen</v>
          </cell>
        </row>
        <row r="292">
          <cell r="I292" t="str">
            <v>Wald</v>
          </cell>
        </row>
        <row r="293">
          <cell r="I293" t="str">
            <v>Walzenhausen</v>
          </cell>
        </row>
        <row r="294">
          <cell r="I294" t="str">
            <v>Wolfhalden</v>
          </cell>
        </row>
      </sheetData>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89E207-7B40-480C-A751-2CB7DF846575}" name="Abflussbeiwerte" displayName="Abflussbeiwerte" ref="A1:E1048576" totalsRowShown="0">
  <autoFilter ref="A1:E1048576" xr:uid="{2E89E207-7B40-480C-A751-2CB7DF846575}"/>
  <sortState xmlns:xlrd2="http://schemas.microsoft.com/office/spreadsheetml/2017/richdata2" ref="A2:E794">
    <sortCondition ref="A1:A1048576"/>
  </sortState>
  <tableColumns count="5">
    <tableColumn id="1" xr3:uid="{E75AF5C8-F77E-470C-9D55-E64ABF4CCBC6}" name="Gemeinde"/>
    <tableColumn id="2" xr3:uid="{92815CCD-27BD-46F5-89BD-17FA2A4F1C71}" name="Gemeindenr"/>
    <tableColumn id="3" xr3:uid="{6B7901DA-2F79-4673-973F-22FCDC8880F0}" name="Zone"/>
    <tableColumn id="4" xr3:uid="{65382545-A709-4AAB-B064-7BFBFDD38DB0}" name="Spalte1"/>
    <tableColumn id="5" xr3:uid="{8A3BE41B-15D6-48CD-ADBD-11D64F6439DD}" name="Abflussbeiwer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g.ch/content/dam/sgch/umwelt-natur/umwelt/dokumente/merkblaetter/Faktenblatt_Entwaesserung.pdf" TargetMode="External"/><Relationship Id="rId1" Type="http://schemas.openxmlformats.org/officeDocument/2006/relationships/hyperlink" Target="https://www.sg.ch/content/dam/sgch/umwelt-natur/wasser/04--abwasser/04-01--siedlungsentw%C3%A4sserung/AWE%20184_Regenwasserentsorgung.pdf"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xml"/><Relationship Id="rId3" Type="http://schemas.openxmlformats.org/officeDocument/2006/relationships/hyperlink" Target="https://www.geoportal.ch/ktsg/map/160" TargetMode="External"/><Relationship Id="rId7" Type="http://schemas.openxmlformats.org/officeDocument/2006/relationships/vmlDrawing" Target="../drawings/vmlDrawing3.vml"/><Relationship Id="rId2" Type="http://schemas.openxmlformats.org/officeDocument/2006/relationships/hyperlink" Target="https://www.geoportal.ch/ktsg/map/23" TargetMode="External"/><Relationship Id="rId1" Type="http://schemas.openxmlformats.org/officeDocument/2006/relationships/hyperlink" Target="https://www.geoportal.ch/ktsg/map/182"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7.v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3A868-A9E7-4875-BB3B-4A1434736845}">
  <sheetPr codeName="Tabelle1"/>
  <dimension ref="A1:C59"/>
  <sheetViews>
    <sheetView view="pageLayout" zoomScaleNormal="100" zoomScaleSheetLayoutView="115" workbookViewId="0">
      <selection activeCell="A6" sqref="A6"/>
    </sheetView>
  </sheetViews>
  <sheetFormatPr baseColWidth="10" defaultColWidth="11.42578125" defaultRowHeight="15"/>
  <cols>
    <col min="1" max="1" width="16" style="265" customWidth="1"/>
    <col min="2" max="2" width="1.140625" style="265" customWidth="1"/>
    <col min="3" max="3" width="86.5703125" style="265" customWidth="1"/>
    <col min="4" max="4" width="1.42578125" style="265" customWidth="1"/>
    <col min="5" max="5" width="2.140625" style="265" customWidth="1"/>
    <col min="6" max="16384" width="11.42578125" style="265"/>
  </cols>
  <sheetData>
    <row r="1" spans="1:3" ht="33.4" customHeight="1">
      <c r="A1" s="273" t="s">
        <v>787</v>
      </c>
    </row>
    <row r="2" spans="1:3" ht="17.649999999999999" customHeight="1">
      <c r="A2" s="336" t="s">
        <v>786</v>
      </c>
      <c r="B2" s="336"/>
      <c r="C2" s="336"/>
    </row>
    <row r="3" spans="1:3" ht="31.35" customHeight="1">
      <c r="A3" s="274"/>
      <c r="B3" s="274"/>
      <c r="C3" s="274"/>
    </row>
    <row r="4" spans="1:3" ht="108">
      <c r="A4" s="275" t="s">
        <v>742</v>
      </c>
      <c r="B4" s="276"/>
      <c r="C4" s="277" t="s">
        <v>788</v>
      </c>
    </row>
    <row r="5" spans="1:3" ht="13.9" customHeight="1">
      <c r="A5" s="278"/>
      <c r="B5" s="278"/>
      <c r="C5" s="278"/>
    </row>
    <row r="6" spans="1:3" ht="54">
      <c r="A6" s="275" t="s">
        <v>789</v>
      </c>
      <c r="B6" s="279"/>
      <c r="C6" s="280" t="s">
        <v>790</v>
      </c>
    </row>
    <row r="7" spans="1:3" ht="13.9" customHeight="1">
      <c r="A7" s="281"/>
      <c r="B7" s="279"/>
      <c r="C7" s="276"/>
    </row>
    <row r="8" spans="1:3" ht="67.5">
      <c r="A8" s="282" t="s">
        <v>749</v>
      </c>
      <c r="B8" s="279"/>
      <c r="C8" s="280" t="s">
        <v>791</v>
      </c>
    </row>
    <row r="9" spans="1:3" ht="13.9" customHeight="1">
      <c r="A9" s="283"/>
      <c r="B9" s="279"/>
      <c r="C9" s="276"/>
    </row>
    <row r="10" spans="1:3" ht="135">
      <c r="A10" s="275" t="s">
        <v>792</v>
      </c>
      <c r="B10" s="276"/>
      <c r="C10" s="284" t="s">
        <v>802</v>
      </c>
    </row>
    <row r="11" spans="1:3" ht="13.9" customHeight="1">
      <c r="A11" s="281"/>
      <c r="B11" s="279"/>
      <c r="C11" s="285"/>
    </row>
    <row r="12" spans="1:3" ht="27">
      <c r="A12" s="286" t="s">
        <v>743</v>
      </c>
      <c r="B12" s="279"/>
      <c r="C12" s="287" t="s">
        <v>793</v>
      </c>
    </row>
    <row r="13" spans="1:3" ht="13.9" customHeight="1">
      <c r="A13" s="283"/>
      <c r="B13" s="288"/>
      <c r="C13" s="289"/>
    </row>
    <row r="14" spans="1:3" ht="270">
      <c r="A14" s="275" t="s">
        <v>744</v>
      </c>
      <c r="B14" s="288"/>
      <c r="C14" s="280" t="s">
        <v>794</v>
      </c>
    </row>
    <row r="15" spans="1:3" ht="33.4" customHeight="1">
      <c r="A15" s="290"/>
      <c r="B15" s="288"/>
      <c r="C15" s="285"/>
    </row>
    <row r="16" spans="1:3" ht="111">
      <c r="A16" s="282" t="s">
        <v>750</v>
      </c>
      <c r="B16" s="291"/>
      <c r="C16" s="280" t="s">
        <v>804</v>
      </c>
    </row>
    <row r="17" spans="1:3" ht="13.9" customHeight="1">
      <c r="A17" s="283"/>
      <c r="B17" s="276"/>
      <c r="C17" s="276"/>
    </row>
    <row r="18" spans="1:3" ht="94.5">
      <c r="A18" s="282" t="s">
        <v>795</v>
      </c>
      <c r="B18" s="291"/>
      <c r="C18" s="287" t="s">
        <v>811</v>
      </c>
    </row>
    <row r="19" spans="1:3" ht="13.9" customHeight="1">
      <c r="A19" s="283"/>
      <c r="B19" s="276"/>
      <c r="C19" s="276"/>
    </row>
    <row r="20" spans="1:3" ht="127.5">
      <c r="A20" s="282" t="s">
        <v>796</v>
      </c>
      <c r="B20" s="279"/>
      <c r="C20" s="280" t="s">
        <v>797</v>
      </c>
    </row>
    <row r="21" spans="1:3" ht="13.9" customHeight="1">
      <c r="A21" s="281"/>
      <c r="B21" s="279"/>
      <c r="C21" s="285"/>
    </row>
    <row r="22" spans="1:3" ht="229.5">
      <c r="A22" s="275" t="s">
        <v>751</v>
      </c>
      <c r="B22" s="288"/>
      <c r="C22" s="280" t="s">
        <v>803</v>
      </c>
    </row>
    <row r="23" spans="1:3" ht="13.9" customHeight="1">
      <c r="A23" s="283"/>
      <c r="B23" s="276"/>
      <c r="C23" s="285"/>
    </row>
    <row r="24" spans="1:3" ht="67.5">
      <c r="A24" s="275" t="s">
        <v>752</v>
      </c>
      <c r="B24" s="288"/>
      <c r="C24" s="280" t="s">
        <v>798</v>
      </c>
    </row>
    <row r="25" spans="1:3" ht="13.9" customHeight="1">
      <c r="A25" s="283"/>
      <c r="B25" s="279"/>
      <c r="C25" s="285"/>
    </row>
    <row r="26" spans="1:3" ht="169.5">
      <c r="A26" s="282" t="s">
        <v>799</v>
      </c>
      <c r="B26" s="279"/>
      <c r="C26" s="280" t="s">
        <v>800</v>
      </c>
    </row>
    <row r="27" spans="1:3" ht="33.4" customHeight="1">
      <c r="A27" s="290"/>
      <c r="B27" s="279"/>
      <c r="C27" s="292"/>
    </row>
    <row r="28" spans="1:3" ht="135">
      <c r="A28" s="275" t="s">
        <v>745</v>
      </c>
      <c r="B28" s="279"/>
      <c r="C28" s="280" t="s">
        <v>805</v>
      </c>
    </row>
    <row r="29" spans="1:3" ht="13.9" customHeight="1">
      <c r="A29" s="290"/>
      <c r="B29" s="279"/>
      <c r="C29" s="292"/>
    </row>
    <row r="30" spans="1:3">
      <c r="A30" s="282" t="s">
        <v>807</v>
      </c>
      <c r="B30" s="279"/>
      <c r="C30" s="293" t="s">
        <v>810</v>
      </c>
    </row>
    <row r="31" spans="1:3">
      <c r="A31" s="282" t="s">
        <v>808</v>
      </c>
      <c r="B31" s="279"/>
      <c r="C31" s="293" t="s">
        <v>809</v>
      </c>
    </row>
    <row r="32" spans="1:3">
      <c r="A32" s="282"/>
      <c r="B32" s="279"/>
      <c r="C32" s="280" t="s">
        <v>806</v>
      </c>
    </row>
    <row r="33" spans="1:3">
      <c r="A33" s="282"/>
      <c r="B33" s="279"/>
      <c r="C33" s="280"/>
    </row>
    <row r="34" spans="1:3" ht="13.9" customHeight="1">
      <c r="B34" s="294"/>
    </row>
    <row r="35" spans="1:3" ht="241.5" customHeight="1">
      <c r="A35" s="286" t="s">
        <v>746</v>
      </c>
      <c r="B35" s="295"/>
      <c r="C35" s="296" t="s">
        <v>801</v>
      </c>
    </row>
    <row r="36" spans="1:3">
      <c r="A36" s="297"/>
      <c r="B36" s="295"/>
      <c r="C36" s="298"/>
    </row>
    <row r="37" spans="1:3">
      <c r="A37" s="299"/>
    </row>
    <row r="38" spans="1:3">
      <c r="A38" s="299"/>
    </row>
    <row r="39" spans="1:3">
      <c r="A39" s="300"/>
    </row>
    <row r="40" spans="1:3">
      <c r="A40" s="300"/>
    </row>
    <row r="41" spans="1:3">
      <c r="A41" s="300"/>
    </row>
    <row r="42" spans="1:3">
      <c r="A42" s="300"/>
    </row>
    <row r="43" spans="1:3">
      <c r="A43" s="300"/>
    </row>
    <row r="44" spans="1:3">
      <c r="A44" s="300"/>
    </row>
    <row r="45" spans="1:3">
      <c r="A45" s="300"/>
    </row>
    <row r="46" spans="1:3">
      <c r="A46" s="300"/>
    </row>
    <row r="47" spans="1:3">
      <c r="A47" s="300"/>
    </row>
    <row r="48" spans="1:3" ht="16.5" customHeight="1">
      <c r="A48" s="300"/>
    </row>
    <row r="49" spans="1:2">
      <c r="A49" s="300"/>
      <c r="B49" s="301"/>
    </row>
    <row r="50" spans="1:2">
      <c r="A50" s="300"/>
    </row>
    <row r="51" spans="1:2">
      <c r="A51" s="300"/>
    </row>
    <row r="52" spans="1:2">
      <c r="A52" s="300"/>
    </row>
    <row r="53" spans="1:2">
      <c r="A53" s="300"/>
    </row>
    <row r="54" spans="1:2">
      <c r="A54" s="300"/>
    </row>
    <row r="55" spans="1:2">
      <c r="A55" s="300"/>
    </row>
    <row r="56" spans="1:2">
      <c r="A56" s="300"/>
    </row>
    <row r="57" spans="1:2">
      <c r="A57" s="300"/>
    </row>
    <row r="58" spans="1:2">
      <c r="A58" s="300"/>
    </row>
    <row r="59" spans="1:2">
      <c r="A59" s="300"/>
    </row>
  </sheetData>
  <sheetProtection algorithmName="SHA-512" hashValue="0DbdjuEnN+bLdIVeFWUqYl6l8EVcJ9MT/i72uc6Cl77Of+3Ny+ZoHUrQcB4eXNczNCEx+pULo9nxKAaIK5qlgw==" saltValue="XyUDRXqNmaiPdFT0AK+IUQ==" spinCount="100000" sheet="1" objects="1" scenarios="1"/>
  <mergeCells count="1">
    <mergeCell ref="A2:C2"/>
  </mergeCells>
  <hyperlinks>
    <hyperlink ref="C30" r:id="rId1" display=" - Merkblatt AWE 184 «Regenwasserentsorgung» " xr:uid="{48162B70-B27F-46FA-8258-EDA50B7A75F8}"/>
    <hyperlink ref="C31" r:id="rId2" display=" - «Planungshilfe zum Merkblatt AWE 184» " xr:uid="{0B621BAD-95EB-4FD3-B97E-708503D1213B}"/>
  </hyperlinks>
  <pageMargins left="0.7" right="0.7" top="1.0649509803921569" bottom="0.78740157499999996" header="0.3" footer="0.3"/>
  <pageSetup paperSize="9" scale="79" orientation="portrait" horizontalDpi="300" r:id="rId3"/>
  <headerFooter>
    <oddHeader>&amp;L&amp;"Arial,Standard"Kanton St.Gallen
Bau- und Umweltdepartement
&amp;"Arial,Fett"Amt für Wasser und Energie&amp;R&amp;G</oddHeader>
    <oddFooter>&amp;CSeite &amp;P von &amp;N</oddFooter>
  </headerFooter>
  <rowBreaks count="2" manualBreakCount="2">
    <brk id="14" max="16383" man="1"/>
    <brk id="26" max="16383" man="1"/>
  </rowBreaks>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543BE-45B4-411D-8480-CF28469B54AB}">
  <sheetPr codeName="Tabelle10"/>
  <dimension ref="A1:O82"/>
  <sheetViews>
    <sheetView zoomScale="70" zoomScaleNormal="70" workbookViewId="0">
      <selection activeCell="G16" sqref="G16"/>
    </sheetView>
  </sheetViews>
  <sheetFormatPr baseColWidth="10" defaultRowHeight="15"/>
  <cols>
    <col min="2" max="2" width="49.42578125" customWidth="1"/>
    <col min="5" max="5" width="26.5703125" customWidth="1"/>
    <col min="6" max="6" width="15.85546875" customWidth="1"/>
    <col min="7" max="7" width="26.28515625" style="139" customWidth="1"/>
    <col min="8" max="8" width="5.42578125" customWidth="1"/>
    <col min="9" max="9" width="18" customWidth="1"/>
    <col min="12" max="12" width="22.5703125" bestFit="1" customWidth="1"/>
    <col min="15" max="15" width="10.42578125" customWidth="1"/>
  </cols>
  <sheetData>
    <row r="1" spans="1:15">
      <c r="A1" s="1" t="s">
        <v>0</v>
      </c>
      <c r="B1" s="1" t="s">
        <v>28</v>
      </c>
      <c r="D1" s="1" t="s">
        <v>0</v>
      </c>
      <c r="E1" s="1" t="s">
        <v>1</v>
      </c>
      <c r="F1" s="1" t="s">
        <v>146</v>
      </c>
      <c r="G1" s="137" t="s">
        <v>609</v>
      </c>
      <c r="H1" s="1" t="s">
        <v>0</v>
      </c>
      <c r="I1" s="1" t="s">
        <v>121</v>
      </c>
      <c r="K1" s="1" t="s">
        <v>0</v>
      </c>
      <c r="L1" s="1" t="s">
        <v>204</v>
      </c>
      <c r="M1" s="1" t="s">
        <v>218</v>
      </c>
      <c r="N1" s="89"/>
    </row>
    <row r="2" spans="1:15">
      <c r="A2" s="2">
        <v>1</v>
      </c>
      <c r="B2" s="2" t="s">
        <v>187</v>
      </c>
      <c r="D2" s="2">
        <v>1</v>
      </c>
      <c r="E2" s="2" t="s">
        <v>52</v>
      </c>
      <c r="F2" s="118" t="s">
        <v>49</v>
      </c>
      <c r="G2" s="138">
        <v>1</v>
      </c>
      <c r="H2" s="2">
        <v>1</v>
      </c>
      <c r="I2" s="2" t="s">
        <v>2</v>
      </c>
      <c r="K2" s="2">
        <v>1</v>
      </c>
      <c r="L2" s="2" t="s">
        <v>210</v>
      </c>
      <c r="M2" s="88">
        <v>0.5</v>
      </c>
      <c r="N2" s="90"/>
    </row>
    <row r="3" spans="1:15">
      <c r="A3" s="2">
        <v>2</v>
      </c>
      <c r="B3" s="2" t="s">
        <v>188</v>
      </c>
      <c r="D3" s="2">
        <v>2</v>
      </c>
      <c r="E3" s="2" t="s">
        <v>70</v>
      </c>
      <c r="F3" s="118" t="s">
        <v>71</v>
      </c>
      <c r="G3" s="138">
        <v>1</v>
      </c>
      <c r="H3" s="2">
        <v>2</v>
      </c>
      <c r="I3" s="2" t="s">
        <v>3</v>
      </c>
      <c r="K3" s="2">
        <v>2</v>
      </c>
      <c r="L3" s="2" t="s">
        <v>206</v>
      </c>
      <c r="M3" s="88">
        <v>1</v>
      </c>
      <c r="N3" s="90"/>
    </row>
    <row r="4" spans="1:15">
      <c r="A4" s="2">
        <v>3</v>
      </c>
      <c r="B4" s="2" t="s">
        <v>189</v>
      </c>
      <c r="D4" s="2">
        <v>3</v>
      </c>
      <c r="E4" s="2" t="s">
        <v>101</v>
      </c>
      <c r="F4" s="118" t="s">
        <v>29</v>
      </c>
      <c r="G4" s="139" t="s">
        <v>602</v>
      </c>
      <c r="H4" s="2">
        <v>3</v>
      </c>
      <c r="I4" s="2" t="s">
        <v>4</v>
      </c>
      <c r="K4" s="2">
        <v>3</v>
      </c>
      <c r="L4" s="2" t="s">
        <v>211</v>
      </c>
      <c r="M4" s="88">
        <v>1.5</v>
      </c>
      <c r="N4" s="90"/>
    </row>
    <row r="5" spans="1:15">
      <c r="A5" s="2">
        <v>4</v>
      </c>
      <c r="B5" s="2" t="s">
        <v>190</v>
      </c>
      <c r="D5" s="2">
        <v>4</v>
      </c>
      <c r="E5" s="2" t="s">
        <v>45</v>
      </c>
      <c r="F5" s="118" t="s">
        <v>49</v>
      </c>
      <c r="G5" s="138">
        <v>1</v>
      </c>
      <c r="H5" s="2">
        <v>4</v>
      </c>
      <c r="I5" s="2" t="s">
        <v>5</v>
      </c>
      <c r="K5" s="2">
        <v>4</v>
      </c>
      <c r="L5" s="2" t="s">
        <v>212</v>
      </c>
      <c r="M5" s="88">
        <v>2</v>
      </c>
      <c r="N5" s="90"/>
    </row>
    <row r="6" spans="1:15">
      <c r="A6" s="2">
        <v>5</v>
      </c>
      <c r="B6" s="2" t="s">
        <v>191</v>
      </c>
      <c r="D6" s="2">
        <v>5</v>
      </c>
      <c r="E6" s="2" t="s">
        <v>64</v>
      </c>
      <c r="F6" s="118" t="s">
        <v>61</v>
      </c>
      <c r="G6" s="139">
        <v>1</v>
      </c>
    </row>
    <row r="7" spans="1:15">
      <c r="A7" s="2">
        <v>6</v>
      </c>
      <c r="B7" s="2" t="s">
        <v>6</v>
      </c>
      <c r="D7" s="2">
        <v>6</v>
      </c>
      <c r="E7" s="2" t="s">
        <v>47</v>
      </c>
      <c r="F7" s="118" t="s">
        <v>49</v>
      </c>
      <c r="G7" s="140" t="s">
        <v>645</v>
      </c>
      <c r="K7" s="1" t="s">
        <v>0</v>
      </c>
      <c r="L7" s="1" t="s">
        <v>205</v>
      </c>
      <c r="M7" s="1" t="s">
        <v>219</v>
      </c>
      <c r="N7" s="89"/>
    </row>
    <row r="8" spans="1:15">
      <c r="A8" s="2">
        <v>7</v>
      </c>
      <c r="B8" s="2" t="s">
        <v>7</v>
      </c>
      <c r="D8" s="2">
        <v>7</v>
      </c>
      <c r="E8" s="2" t="s">
        <v>73</v>
      </c>
      <c r="F8" s="118" t="s">
        <v>281</v>
      </c>
      <c r="G8" s="139">
        <v>1</v>
      </c>
      <c r="H8" s="128"/>
      <c r="K8" s="2">
        <v>1</v>
      </c>
      <c r="L8" s="2" t="s">
        <v>213</v>
      </c>
      <c r="M8" s="88">
        <v>0.5</v>
      </c>
      <c r="N8" s="90"/>
    </row>
    <row r="9" spans="1:15" ht="18" customHeight="1">
      <c r="A9" s="2">
        <v>8</v>
      </c>
      <c r="B9" s="2" t="s">
        <v>8</v>
      </c>
      <c r="D9" s="2">
        <v>8</v>
      </c>
      <c r="E9" s="2" t="s">
        <v>36</v>
      </c>
      <c r="F9" s="118" t="s">
        <v>29</v>
      </c>
      <c r="G9" s="139" t="s">
        <v>602</v>
      </c>
      <c r="H9">
        <v>3</v>
      </c>
      <c r="I9" t="str">
        <f>_xlfn.XLOOKUP(H9,D2:D82,E2:E82,)</f>
        <v>Andwil</v>
      </c>
      <c r="K9" s="2">
        <v>2</v>
      </c>
      <c r="L9" s="2" t="s">
        <v>214</v>
      </c>
      <c r="M9" s="88">
        <v>1</v>
      </c>
      <c r="N9" s="90"/>
    </row>
    <row r="10" spans="1:15" ht="18" customHeight="1">
      <c r="A10" s="2">
        <v>9</v>
      </c>
      <c r="B10" s="2" t="s">
        <v>9</v>
      </c>
      <c r="D10" s="2">
        <v>9</v>
      </c>
      <c r="E10" s="2" t="s">
        <v>46</v>
      </c>
      <c r="F10" s="118" t="s">
        <v>49</v>
      </c>
      <c r="G10" s="140">
        <v>1</v>
      </c>
      <c r="K10" s="2">
        <v>3</v>
      </c>
      <c r="L10" s="2" t="s">
        <v>215</v>
      </c>
      <c r="M10" s="88">
        <v>1</v>
      </c>
      <c r="N10" s="90"/>
    </row>
    <row r="11" spans="1:15" ht="18" customHeight="1">
      <c r="A11" s="2">
        <v>10</v>
      </c>
      <c r="B11" s="2" t="s">
        <v>10</v>
      </c>
      <c r="D11" s="2">
        <v>10</v>
      </c>
      <c r="E11" s="2" t="s">
        <v>59</v>
      </c>
      <c r="F11" s="118" t="s">
        <v>61</v>
      </c>
      <c r="G11" s="139">
        <v>1</v>
      </c>
      <c r="K11" s="2">
        <v>4</v>
      </c>
      <c r="L11" s="2" t="s">
        <v>216</v>
      </c>
      <c r="M11" s="88">
        <v>2</v>
      </c>
      <c r="N11" s="90"/>
    </row>
    <row r="12" spans="1:15" ht="18" customHeight="1">
      <c r="A12" s="2">
        <v>11</v>
      </c>
      <c r="B12" s="2" t="s">
        <v>11</v>
      </c>
      <c r="D12" s="2">
        <v>11</v>
      </c>
      <c r="E12" s="2" t="s">
        <v>86</v>
      </c>
      <c r="F12" s="118" t="s">
        <v>29</v>
      </c>
      <c r="G12" s="139" t="s">
        <v>601</v>
      </c>
      <c r="K12" s="2">
        <v>5</v>
      </c>
      <c r="L12" s="2" t="s">
        <v>217</v>
      </c>
      <c r="M12" s="88">
        <v>2</v>
      </c>
      <c r="N12" s="90"/>
    </row>
    <row r="13" spans="1:15" ht="18" customHeight="1">
      <c r="A13" s="2">
        <v>12</v>
      </c>
      <c r="B13" s="2" t="s">
        <v>192</v>
      </c>
      <c r="D13" s="2">
        <v>12</v>
      </c>
      <c r="E13" s="2" t="s">
        <v>615</v>
      </c>
      <c r="F13" s="118" t="s">
        <v>29</v>
      </c>
      <c r="G13" s="139">
        <v>1</v>
      </c>
      <c r="H13" s="1" t="s">
        <v>0</v>
      </c>
      <c r="I13" s="1" t="s">
        <v>646</v>
      </c>
    </row>
    <row r="14" spans="1:15" ht="18" customHeight="1">
      <c r="A14" s="2">
        <v>13</v>
      </c>
      <c r="B14" s="2" t="s">
        <v>193</v>
      </c>
      <c r="D14" s="2">
        <v>13</v>
      </c>
      <c r="E14" s="2" t="s">
        <v>614</v>
      </c>
      <c r="F14" s="118" t="s">
        <v>29</v>
      </c>
      <c r="G14" s="139">
        <v>1</v>
      </c>
      <c r="H14" s="2">
        <v>1</v>
      </c>
      <c r="I14" s="2" t="s">
        <v>278</v>
      </c>
      <c r="K14" s="374" t="s">
        <v>0</v>
      </c>
      <c r="L14" s="374" t="s">
        <v>224</v>
      </c>
      <c r="M14" s="1" t="s">
        <v>225</v>
      </c>
      <c r="N14" s="1"/>
      <c r="O14" s="1" t="s">
        <v>223</v>
      </c>
    </row>
    <row r="15" spans="1:15" ht="18" customHeight="1">
      <c r="A15" s="2">
        <v>14</v>
      </c>
      <c r="B15" s="2" t="s">
        <v>194</v>
      </c>
      <c r="D15" s="2">
        <v>14</v>
      </c>
      <c r="E15" s="2" t="s">
        <v>94</v>
      </c>
      <c r="F15" s="118" t="s">
        <v>29</v>
      </c>
      <c r="G15" s="139">
        <v>1</v>
      </c>
      <c r="H15" s="2">
        <v>2</v>
      </c>
      <c r="I15" s="2" t="s">
        <v>280</v>
      </c>
      <c r="K15" s="375"/>
      <c r="L15" s="375"/>
      <c r="M15" s="376" t="s">
        <v>226</v>
      </c>
      <c r="N15" s="376"/>
      <c r="O15" s="1" t="s">
        <v>227</v>
      </c>
    </row>
    <row r="16" spans="1:15" ht="18" customHeight="1">
      <c r="A16" s="2">
        <v>15</v>
      </c>
      <c r="B16" s="2" t="s">
        <v>195</v>
      </c>
      <c r="D16" s="2">
        <v>15</v>
      </c>
      <c r="E16" s="2" t="s">
        <v>48</v>
      </c>
      <c r="F16" s="118" t="s">
        <v>49</v>
      </c>
      <c r="G16" s="138">
        <v>1</v>
      </c>
      <c r="H16" s="2">
        <v>3</v>
      </c>
      <c r="I16" s="2" t="s">
        <v>279</v>
      </c>
      <c r="M16" s="1" t="s">
        <v>229</v>
      </c>
      <c r="N16" s="1" t="s">
        <v>230</v>
      </c>
      <c r="O16" s="1"/>
    </row>
    <row r="17" spans="1:15" ht="18" customHeight="1">
      <c r="A17" s="2">
        <v>16</v>
      </c>
      <c r="B17" s="2" t="s">
        <v>196</v>
      </c>
      <c r="D17" s="2">
        <v>16</v>
      </c>
      <c r="E17" s="2" t="s">
        <v>82</v>
      </c>
      <c r="F17" s="118" t="s">
        <v>29</v>
      </c>
      <c r="G17" s="139">
        <v>1</v>
      </c>
      <c r="H17" s="125"/>
      <c r="K17" s="2">
        <v>1</v>
      </c>
      <c r="L17" s="2" t="s">
        <v>246</v>
      </c>
      <c r="M17" s="2">
        <v>3</v>
      </c>
      <c r="N17" s="91" t="s">
        <v>231</v>
      </c>
      <c r="O17" s="2">
        <v>100</v>
      </c>
    </row>
    <row r="18" spans="1:15" ht="18" customHeight="1">
      <c r="A18" s="2">
        <v>17</v>
      </c>
      <c r="B18" s="2" t="s">
        <v>197</v>
      </c>
      <c r="D18" s="2">
        <v>17</v>
      </c>
      <c r="E18" s="2" t="s">
        <v>39</v>
      </c>
      <c r="F18" s="118" t="s">
        <v>29</v>
      </c>
      <c r="G18" s="139">
        <v>1</v>
      </c>
      <c r="K18" s="2">
        <v>2</v>
      </c>
      <c r="L18" s="2" t="s">
        <v>247</v>
      </c>
      <c r="M18" s="2">
        <v>3</v>
      </c>
      <c r="N18" s="2">
        <v>10</v>
      </c>
      <c r="O18" s="2">
        <v>300</v>
      </c>
    </row>
    <row r="19" spans="1:15" ht="18" customHeight="1">
      <c r="A19" s="2">
        <v>18</v>
      </c>
      <c r="B19" s="2" t="s">
        <v>198</v>
      </c>
      <c r="D19" s="2">
        <v>18</v>
      </c>
      <c r="E19" s="2" t="s">
        <v>53</v>
      </c>
      <c r="F19" s="118" t="s">
        <v>49</v>
      </c>
      <c r="G19" s="140">
        <v>1</v>
      </c>
      <c r="K19" s="2">
        <v>3</v>
      </c>
      <c r="L19" s="2" t="s">
        <v>248</v>
      </c>
      <c r="M19" s="2">
        <v>10</v>
      </c>
      <c r="N19" s="2">
        <v>30</v>
      </c>
      <c r="O19" s="2">
        <v>1000</v>
      </c>
    </row>
    <row r="20" spans="1:15" ht="18" customHeight="1">
      <c r="A20" s="2">
        <v>19</v>
      </c>
      <c r="B20" s="2" t="s">
        <v>199</v>
      </c>
      <c r="D20" s="2">
        <v>19</v>
      </c>
      <c r="E20" s="2" t="s">
        <v>79</v>
      </c>
      <c r="F20" s="118" t="s">
        <v>281</v>
      </c>
      <c r="G20" s="141" t="s">
        <v>730</v>
      </c>
      <c r="K20" s="2">
        <v>4</v>
      </c>
      <c r="L20" s="2" t="s">
        <v>249</v>
      </c>
      <c r="M20" s="2">
        <v>30</v>
      </c>
      <c r="N20" s="91" t="s">
        <v>231</v>
      </c>
      <c r="O20" s="2">
        <v>2000</v>
      </c>
    </row>
    <row r="21" spans="1:15" ht="18" customHeight="1">
      <c r="A21" s="2">
        <v>20</v>
      </c>
      <c r="B21" s="2" t="s">
        <v>12</v>
      </c>
      <c r="D21" s="2">
        <v>20</v>
      </c>
      <c r="E21" s="2" t="s">
        <v>93</v>
      </c>
      <c r="F21" s="118" t="s">
        <v>29</v>
      </c>
      <c r="G21" s="139">
        <v>1</v>
      </c>
      <c r="K21" s="2">
        <v>5</v>
      </c>
      <c r="L21" s="2" t="s">
        <v>228</v>
      </c>
      <c r="M21" s="2"/>
      <c r="N21" s="2"/>
      <c r="O21" s="2">
        <v>300</v>
      </c>
    </row>
    <row r="22" spans="1:15" ht="18" customHeight="1">
      <c r="A22" s="2">
        <v>21</v>
      </c>
      <c r="B22" s="2" t="s">
        <v>13</v>
      </c>
      <c r="D22" s="2">
        <v>21</v>
      </c>
      <c r="E22" s="2" t="s">
        <v>67</v>
      </c>
      <c r="F22" s="118" t="s">
        <v>61</v>
      </c>
      <c r="G22" s="139">
        <v>1</v>
      </c>
    </row>
    <row r="23" spans="1:15" ht="18" customHeight="1">
      <c r="A23" s="2">
        <v>22</v>
      </c>
      <c r="B23" s="2" t="s">
        <v>14</v>
      </c>
      <c r="D23" s="2">
        <v>22</v>
      </c>
      <c r="E23" s="2" t="s">
        <v>103</v>
      </c>
      <c r="F23" s="118" t="s">
        <v>29</v>
      </c>
      <c r="G23" s="139">
        <v>1</v>
      </c>
      <c r="K23" s="1" t="s">
        <v>0</v>
      </c>
      <c r="L23" s="1" t="s">
        <v>208</v>
      </c>
    </row>
    <row r="24" spans="1:15" ht="18" customHeight="1">
      <c r="A24" s="2">
        <v>23</v>
      </c>
      <c r="B24" s="2" t="s">
        <v>15</v>
      </c>
      <c r="D24" s="2">
        <v>23</v>
      </c>
      <c r="E24" s="2" t="s">
        <v>57</v>
      </c>
      <c r="F24" s="118" t="s">
        <v>61</v>
      </c>
      <c r="G24" s="139">
        <v>1</v>
      </c>
      <c r="K24" s="2">
        <v>1</v>
      </c>
      <c r="L24" s="2" t="s">
        <v>242</v>
      </c>
    </row>
    <row r="25" spans="1:15" ht="18" customHeight="1">
      <c r="A25" s="2">
        <v>24</v>
      </c>
      <c r="B25" s="2" t="s">
        <v>200</v>
      </c>
      <c r="D25" s="2">
        <v>24</v>
      </c>
      <c r="E25" s="2" t="s">
        <v>34</v>
      </c>
      <c r="F25" s="118" t="s">
        <v>29</v>
      </c>
      <c r="G25" s="139">
        <v>1</v>
      </c>
      <c r="K25" s="2">
        <v>2</v>
      </c>
      <c r="L25" s="2" t="s">
        <v>243</v>
      </c>
    </row>
    <row r="26" spans="1:15" ht="18" customHeight="1">
      <c r="A26" s="2">
        <v>25</v>
      </c>
      <c r="B26" s="2" t="s">
        <v>201</v>
      </c>
      <c r="D26" s="2">
        <v>25</v>
      </c>
      <c r="E26" s="2" t="s">
        <v>75</v>
      </c>
      <c r="F26" s="118" t="s">
        <v>281</v>
      </c>
      <c r="G26" s="139">
        <v>1</v>
      </c>
    </row>
    <row r="27" spans="1:15" ht="18" customHeight="1">
      <c r="A27" s="2">
        <v>26</v>
      </c>
      <c r="B27" s="2" t="s">
        <v>202</v>
      </c>
      <c r="D27" s="2">
        <v>26</v>
      </c>
      <c r="E27" s="2" t="s">
        <v>100</v>
      </c>
      <c r="F27" s="118" t="s">
        <v>29</v>
      </c>
      <c r="G27" s="139">
        <v>1</v>
      </c>
      <c r="K27" s="1" t="s">
        <v>0</v>
      </c>
      <c r="L27" s="1" t="s">
        <v>233</v>
      </c>
    </row>
    <row r="28" spans="1:15" ht="18" customHeight="1">
      <c r="A28" s="2">
        <v>27</v>
      </c>
      <c r="B28" s="2" t="s">
        <v>16</v>
      </c>
      <c r="D28" s="2">
        <v>27</v>
      </c>
      <c r="E28" s="2" t="s">
        <v>58</v>
      </c>
      <c r="F28" s="118" t="s">
        <v>61</v>
      </c>
      <c r="G28" s="139">
        <v>1</v>
      </c>
      <c r="K28" s="2">
        <v>1</v>
      </c>
      <c r="L28" s="2" t="s">
        <v>234</v>
      </c>
    </row>
    <row r="29" spans="1:15" ht="18" customHeight="1">
      <c r="A29" s="2">
        <v>28</v>
      </c>
      <c r="B29" s="2" t="s">
        <v>17</v>
      </c>
      <c r="D29" s="2">
        <v>28</v>
      </c>
      <c r="E29" s="2" t="s">
        <v>31</v>
      </c>
      <c r="F29" s="118" t="s">
        <v>95</v>
      </c>
      <c r="G29" s="139">
        <v>1</v>
      </c>
      <c r="K29" s="2">
        <v>2</v>
      </c>
      <c r="L29" s="2" t="s">
        <v>235</v>
      </c>
    </row>
    <row r="30" spans="1:15" ht="18" customHeight="1">
      <c r="A30" s="2">
        <v>29</v>
      </c>
      <c r="B30" s="2" t="s">
        <v>18</v>
      </c>
      <c r="D30" s="2">
        <v>29</v>
      </c>
      <c r="E30" s="2" t="s">
        <v>90</v>
      </c>
      <c r="F30" s="118" t="s">
        <v>95</v>
      </c>
      <c r="G30" s="139">
        <v>1</v>
      </c>
      <c r="K30" s="2">
        <v>3</v>
      </c>
      <c r="L30" s="2" t="s">
        <v>236</v>
      </c>
    </row>
    <row r="31" spans="1:15" ht="18" customHeight="1">
      <c r="A31" s="2">
        <v>30</v>
      </c>
      <c r="B31" s="2" t="s">
        <v>19</v>
      </c>
      <c r="D31" s="2">
        <v>30</v>
      </c>
      <c r="E31" s="2" t="s">
        <v>74</v>
      </c>
      <c r="F31" s="118" t="s">
        <v>281</v>
      </c>
      <c r="G31" s="139">
        <v>1</v>
      </c>
    </row>
    <row r="32" spans="1:15" ht="18" customHeight="1">
      <c r="A32" s="2">
        <v>31</v>
      </c>
      <c r="B32" s="2" t="s">
        <v>20</v>
      </c>
      <c r="D32" s="2">
        <v>31</v>
      </c>
      <c r="E32" s="2" t="s">
        <v>89</v>
      </c>
      <c r="F32" s="118" t="s">
        <v>29</v>
      </c>
      <c r="G32" s="139">
        <v>1</v>
      </c>
      <c r="K32" s="1" t="s">
        <v>0</v>
      </c>
      <c r="L32" s="1" t="s">
        <v>233</v>
      </c>
      <c r="M32" s="1" t="s">
        <v>241</v>
      </c>
    </row>
    <row r="33" spans="1:13" ht="18" customHeight="1">
      <c r="A33" s="2">
        <v>32</v>
      </c>
      <c r="B33" s="2" t="s">
        <v>21</v>
      </c>
      <c r="D33" s="2">
        <v>32</v>
      </c>
      <c r="E33" s="2" t="s">
        <v>84</v>
      </c>
      <c r="F33" s="118" t="s">
        <v>29</v>
      </c>
      <c r="G33" s="139">
        <v>1</v>
      </c>
      <c r="K33" s="2">
        <v>1</v>
      </c>
      <c r="L33" s="2" t="s">
        <v>244</v>
      </c>
      <c r="M33" s="2" t="s">
        <v>238</v>
      </c>
    </row>
    <row r="34" spans="1:13" ht="18" customHeight="1">
      <c r="A34" s="2">
        <v>33</v>
      </c>
      <c r="B34" s="2" t="s">
        <v>22</v>
      </c>
      <c r="D34" s="2">
        <v>33</v>
      </c>
      <c r="E34" s="2" t="s">
        <v>87</v>
      </c>
      <c r="F34" s="118" t="s">
        <v>29</v>
      </c>
      <c r="G34" s="139">
        <v>1</v>
      </c>
      <c r="K34" s="2">
        <v>2</v>
      </c>
      <c r="L34" s="2" t="s">
        <v>239</v>
      </c>
      <c r="M34" s="92" t="s">
        <v>737</v>
      </c>
    </row>
    <row r="35" spans="1:13" ht="18" customHeight="1">
      <c r="A35" s="2">
        <v>34</v>
      </c>
      <c r="B35" s="2" t="s">
        <v>23</v>
      </c>
      <c r="D35" s="2">
        <v>34</v>
      </c>
      <c r="E35" s="2" t="s">
        <v>51</v>
      </c>
      <c r="F35" s="118" t="s">
        <v>49</v>
      </c>
      <c r="G35" s="140">
        <v>1</v>
      </c>
      <c r="K35" s="2">
        <v>3</v>
      </c>
      <c r="L35" s="2" t="s">
        <v>240</v>
      </c>
      <c r="M35" s="2" t="s">
        <v>273</v>
      </c>
    </row>
    <row r="36" spans="1:13" ht="18" customHeight="1">
      <c r="A36" s="2">
        <v>35</v>
      </c>
      <c r="B36" s="2" t="s">
        <v>24</v>
      </c>
      <c r="D36" s="2">
        <v>35</v>
      </c>
      <c r="E36" s="2" t="s">
        <v>66</v>
      </c>
      <c r="F36" s="118" t="s">
        <v>61</v>
      </c>
      <c r="G36" s="141" t="s">
        <v>730</v>
      </c>
      <c r="K36" s="2">
        <v>4</v>
      </c>
      <c r="L36" s="2" t="s">
        <v>245</v>
      </c>
      <c r="M36" s="2" t="s">
        <v>273</v>
      </c>
    </row>
    <row r="37" spans="1:13" ht="18" customHeight="1">
      <c r="A37" s="2">
        <v>36</v>
      </c>
      <c r="B37" s="2" t="s">
        <v>25</v>
      </c>
      <c r="D37" s="2">
        <v>36</v>
      </c>
      <c r="E37" s="2" t="s">
        <v>33</v>
      </c>
      <c r="F37" s="118" t="s">
        <v>29</v>
      </c>
      <c r="G37" s="139" t="s">
        <v>602</v>
      </c>
    </row>
    <row r="38" spans="1:13" ht="18" customHeight="1">
      <c r="A38" s="2">
        <v>37</v>
      </c>
      <c r="B38" s="2" t="s">
        <v>25</v>
      </c>
      <c r="D38" s="2">
        <v>37</v>
      </c>
      <c r="E38" s="2" t="s">
        <v>88</v>
      </c>
      <c r="F38" s="118" t="s">
        <v>29</v>
      </c>
      <c r="G38" s="139">
        <v>1</v>
      </c>
    </row>
    <row r="39" spans="1:13" ht="18" customHeight="1">
      <c r="A39" s="2">
        <v>38</v>
      </c>
      <c r="B39" s="2" t="s">
        <v>26</v>
      </c>
      <c r="D39" s="2">
        <v>38</v>
      </c>
      <c r="E39" s="2" t="s">
        <v>32</v>
      </c>
      <c r="F39" s="118" t="s">
        <v>95</v>
      </c>
      <c r="G39" s="139" t="s">
        <v>602</v>
      </c>
    </row>
    <row r="40" spans="1:13" ht="18" customHeight="1">
      <c r="A40" s="2">
        <v>39</v>
      </c>
      <c r="B40" s="2" t="s">
        <v>27</v>
      </c>
      <c r="D40" s="2">
        <v>39</v>
      </c>
      <c r="E40" s="2" t="s">
        <v>85</v>
      </c>
      <c r="F40" s="118" t="s">
        <v>29</v>
      </c>
      <c r="G40" s="141" t="s">
        <v>730</v>
      </c>
    </row>
    <row r="41" spans="1:13">
      <c r="D41" s="2">
        <v>40</v>
      </c>
      <c r="E41" s="2" t="s">
        <v>81</v>
      </c>
      <c r="F41" s="118" t="s">
        <v>29</v>
      </c>
      <c r="G41" s="139">
        <v>1</v>
      </c>
    </row>
    <row r="42" spans="1:13">
      <c r="D42" s="2">
        <v>41</v>
      </c>
      <c r="E42" s="2" t="s">
        <v>98</v>
      </c>
      <c r="F42" s="118" t="s">
        <v>95</v>
      </c>
      <c r="G42" s="141" t="s">
        <v>730</v>
      </c>
    </row>
    <row r="43" spans="1:13">
      <c r="D43" s="2">
        <v>42</v>
      </c>
      <c r="E43" s="2" t="s">
        <v>99</v>
      </c>
      <c r="F43" s="118" t="s">
        <v>95</v>
      </c>
      <c r="G43" s="139">
        <v>1</v>
      </c>
    </row>
    <row r="44" spans="1:13">
      <c r="D44" s="2">
        <v>43</v>
      </c>
      <c r="E44" s="2" t="s">
        <v>97</v>
      </c>
      <c r="F44" s="118" t="s">
        <v>95</v>
      </c>
      <c r="G44" s="139">
        <v>1</v>
      </c>
    </row>
    <row r="45" spans="1:13">
      <c r="D45" s="2">
        <v>44</v>
      </c>
      <c r="E45" s="2" t="s">
        <v>54</v>
      </c>
      <c r="F45" s="118" t="s">
        <v>49</v>
      </c>
      <c r="G45" s="140">
        <v>1</v>
      </c>
    </row>
    <row r="46" spans="1:13">
      <c r="D46" s="2">
        <v>45</v>
      </c>
      <c r="E46" s="2" t="s">
        <v>91</v>
      </c>
      <c r="F46" s="118" t="s">
        <v>95</v>
      </c>
      <c r="G46" s="139">
        <v>1</v>
      </c>
    </row>
    <row r="47" spans="1:13">
      <c r="D47" s="2">
        <v>46</v>
      </c>
      <c r="E47" s="2" t="s">
        <v>65</v>
      </c>
      <c r="F47" s="118" t="s">
        <v>61</v>
      </c>
      <c r="G47" s="139">
        <v>1</v>
      </c>
    </row>
    <row r="48" spans="1:13">
      <c r="D48" s="2">
        <v>47</v>
      </c>
      <c r="E48" s="2" t="s">
        <v>69</v>
      </c>
      <c r="F48" s="118" t="s">
        <v>71</v>
      </c>
      <c r="G48" s="139">
        <v>1</v>
      </c>
    </row>
    <row r="49" spans="4:7">
      <c r="D49" s="2">
        <v>48</v>
      </c>
      <c r="E49" s="2" t="s">
        <v>78</v>
      </c>
      <c r="F49" s="118" t="s">
        <v>281</v>
      </c>
      <c r="G49" s="139" t="s">
        <v>601</v>
      </c>
    </row>
    <row r="50" spans="4:7">
      <c r="D50" s="2">
        <v>49</v>
      </c>
      <c r="E50" s="2" t="s">
        <v>610</v>
      </c>
      <c r="F50" s="118" t="s">
        <v>281</v>
      </c>
      <c r="G50" s="139">
        <v>1</v>
      </c>
    </row>
    <row r="51" spans="4:7">
      <c r="D51" s="2">
        <v>50</v>
      </c>
      <c r="E51" s="2" t="s">
        <v>611</v>
      </c>
      <c r="F51" s="118" t="s">
        <v>281</v>
      </c>
      <c r="G51" s="139">
        <v>1</v>
      </c>
    </row>
    <row r="52" spans="4:7">
      <c r="D52" s="2">
        <v>51</v>
      </c>
      <c r="E52" s="2" t="s">
        <v>50</v>
      </c>
      <c r="F52" s="118" t="s">
        <v>49</v>
      </c>
      <c r="G52" s="140">
        <v>1</v>
      </c>
    </row>
    <row r="53" spans="4:7">
      <c r="D53" s="2">
        <v>52</v>
      </c>
      <c r="E53" s="2" t="s">
        <v>43</v>
      </c>
      <c r="F53" s="118" t="s">
        <v>49</v>
      </c>
      <c r="G53" s="140">
        <v>1</v>
      </c>
    </row>
    <row r="54" spans="4:7">
      <c r="D54" s="2">
        <v>53</v>
      </c>
      <c r="E54" s="2" t="s">
        <v>41</v>
      </c>
      <c r="F54" s="118" t="s">
        <v>29</v>
      </c>
      <c r="G54" s="141" t="s">
        <v>734</v>
      </c>
    </row>
    <row r="55" spans="4:7">
      <c r="D55" s="2">
        <v>54</v>
      </c>
      <c r="E55" s="2" t="s">
        <v>40</v>
      </c>
      <c r="F55" s="118" t="s">
        <v>29</v>
      </c>
      <c r="G55" s="266" t="s">
        <v>633</v>
      </c>
    </row>
    <row r="56" spans="4:7">
      <c r="D56" s="2">
        <v>55</v>
      </c>
      <c r="E56" s="2" t="s">
        <v>55</v>
      </c>
      <c r="F56" s="118" t="s">
        <v>49</v>
      </c>
      <c r="G56" s="139">
        <v>1</v>
      </c>
    </row>
    <row r="57" spans="4:7">
      <c r="D57" s="2">
        <v>56</v>
      </c>
      <c r="E57" s="2" t="s">
        <v>62</v>
      </c>
      <c r="F57" s="118" t="s">
        <v>61</v>
      </c>
      <c r="G57" s="139">
        <v>1</v>
      </c>
    </row>
    <row r="58" spans="4:7">
      <c r="D58" s="2">
        <v>57</v>
      </c>
      <c r="E58" s="2" t="s">
        <v>72</v>
      </c>
      <c r="F58" s="118" t="s">
        <v>71</v>
      </c>
      <c r="G58" s="139">
        <v>1</v>
      </c>
    </row>
    <row r="59" spans="4:7">
      <c r="D59" s="2">
        <v>58</v>
      </c>
      <c r="E59" s="2" t="s">
        <v>77</v>
      </c>
      <c r="F59" s="118" t="s">
        <v>281</v>
      </c>
      <c r="G59" s="139">
        <v>1</v>
      </c>
    </row>
    <row r="60" spans="4:7">
      <c r="D60" s="2">
        <v>59</v>
      </c>
      <c r="E60" s="2" t="s">
        <v>56</v>
      </c>
      <c r="F60" s="118" t="s">
        <v>49</v>
      </c>
      <c r="G60" s="140">
        <v>1</v>
      </c>
    </row>
    <row r="61" spans="4:7">
      <c r="D61" s="2">
        <v>60</v>
      </c>
      <c r="E61" s="2" t="s">
        <v>60</v>
      </c>
      <c r="F61" s="118" t="s">
        <v>61</v>
      </c>
      <c r="G61" s="139">
        <v>1</v>
      </c>
    </row>
    <row r="62" spans="4:7">
      <c r="D62" s="2">
        <v>61</v>
      </c>
      <c r="E62" s="2" t="s">
        <v>29</v>
      </c>
      <c r="F62" s="118" t="s">
        <v>29</v>
      </c>
      <c r="G62" s="139" t="s">
        <v>603</v>
      </c>
    </row>
    <row r="63" spans="4:7">
      <c r="D63" s="2">
        <v>62</v>
      </c>
      <c r="E63" s="2" t="s">
        <v>44</v>
      </c>
      <c r="F63" s="118" t="s">
        <v>29</v>
      </c>
      <c r="G63" s="139">
        <v>1</v>
      </c>
    </row>
    <row r="64" spans="4:7">
      <c r="D64" s="2">
        <v>63</v>
      </c>
      <c r="E64" s="2" t="s">
        <v>35</v>
      </c>
      <c r="F64" s="118" t="s">
        <v>29</v>
      </c>
      <c r="G64" s="139" t="s">
        <v>602</v>
      </c>
    </row>
    <row r="65" spans="4:7">
      <c r="D65" s="2">
        <v>64</v>
      </c>
      <c r="E65" s="2" t="s">
        <v>42</v>
      </c>
      <c r="F65" s="118" t="s">
        <v>49</v>
      </c>
      <c r="G65" s="140">
        <v>1</v>
      </c>
    </row>
    <row r="66" spans="4:7">
      <c r="D66" s="2">
        <v>65</v>
      </c>
      <c r="E66" s="2" t="s">
        <v>37</v>
      </c>
      <c r="F66" s="118" t="s">
        <v>29</v>
      </c>
      <c r="G66" s="140">
        <v>1</v>
      </c>
    </row>
    <row r="67" spans="4:7">
      <c r="D67" s="2">
        <v>66</v>
      </c>
      <c r="E67" s="2" t="s">
        <v>38</v>
      </c>
      <c r="F67" s="118" t="s">
        <v>29</v>
      </c>
      <c r="G67" s="139">
        <v>1</v>
      </c>
    </row>
    <row r="68" spans="4:7">
      <c r="D68" s="2">
        <v>67</v>
      </c>
      <c r="E68" s="2" t="s">
        <v>76</v>
      </c>
      <c r="F68" s="118" t="s">
        <v>281</v>
      </c>
      <c r="G68" s="139">
        <v>1</v>
      </c>
    </row>
    <row r="69" spans="4:7">
      <c r="D69" s="2">
        <v>68</v>
      </c>
      <c r="E69" s="2" t="s">
        <v>92</v>
      </c>
      <c r="F69" s="118" t="s">
        <v>95</v>
      </c>
      <c r="G69" s="139">
        <v>1</v>
      </c>
    </row>
    <row r="70" spans="4:7">
      <c r="D70" s="2">
        <v>69</v>
      </c>
      <c r="E70" s="2" t="s">
        <v>63</v>
      </c>
      <c r="F70" s="118" t="s">
        <v>61</v>
      </c>
      <c r="G70" s="139">
        <v>1</v>
      </c>
    </row>
    <row r="71" spans="4:7">
      <c r="D71" s="2">
        <v>70</v>
      </c>
      <c r="E71" s="2" t="s">
        <v>102</v>
      </c>
      <c r="F71" s="118" t="s">
        <v>29</v>
      </c>
      <c r="G71" s="141" t="s">
        <v>730</v>
      </c>
    </row>
    <row r="72" spans="4:7">
      <c r="D72" s="2">
        <v>71</v>
      </c>
      <c r="E72" s="2" t="s">
        <v>68</v>
      </c>
      <c r="F72" s="118" t="s">
        <v>61</v>
      </c>
      <c r="G72" s="139">
        <v>1</v>
      </c>
    </row>
    <row r="73" spans="4:7">
      <c r="D73" s="2">
        <v>72</v>
      </c>
      <c r="E73" s="2" t="s">
        <v>61</v>
      </c>
      <c r="F73" s="118" t="s">
        <v>61</v>
      </c>
      <c r="G73" s="139">
        <v>1</v>
      </c>
    </row>
    <row r="74" spans="4:7">
      <c r="D74" s="2">
        <v>73</v>
      </c>
      <c r="E74" s="2" t="s">
        <v>83</v>
      </c>
      <c r="F74" s="118" t="s">
        <v>29</v>
      </c>
      <c r="G74" s="139">
        <v>1</v>
      </c>
    </row>
    <row r="75" spans="4:7">
      <c r="D75" s="2">
        <v>74</v>
      </c>
      <c r="E75" s="2" t="s">
        <v>71</v>
      </c>
      <c r="F75" s="118" t="s">
        <v>71</v>
      </c>
      <c r="G75" s="139">
        <v>1</v>
      </c>
    </row>
    <row r="76" spans="4:7">
      <c r="D76" s="2">
        <v>75</v>
      </c>
      <c r="E76" s="2" t="s">
        <v>49</v>
      </c>
      <c r="F76" s="118" t="s">
        <v>49</v>
      </c>
      <c r="G76" s="140">
        <v>1</v>
      </c>
    </row>
    <row r="77" spans="4:7">
      <c r="D77" s="2">
        <v>76</v>
      </c>
      <c r="E77" s="2" t="s">
        <v>95</v>
      </c>
      <c r="F77" s="118" t="s">
        <v>95</v>
      </c>
      <c r="G77" s="139">
        <v>1</v>
      </c>
    </row>
    <row r="78" spans="4:7">
      <c r="D78" s="2">
        <v>77</v>
      </c>
      <c r="E78" s="2" t="s">
        <v>80</v>
      </c>
      <c r="F78" s="118" t="s">
        <v>29</v>
      </c>
      <c r="G78" s="139" t="s">
        <v>601</v>
      </c>
    </row>
    <row r="79" spans="4:7">
      <c r="D79" s="2">
        <v>78</v>
      </c>
      <c r="E79" s="2" t="s">
        <v>612</v>
      </c>
      <c r="F79" s="118" t="s">
        <v>29</v>
      </c>
      <c r="G79" s="139">
        <v>1</v>
      </c>
    </row>
    <row r="80" spans="4:7">
      <c r="D80" s="2">
        <v>79</v>
      </c>
      <c r="E80" s="2" t="s">
        <v>613</v>
      </c>
      <c r="F80" s="118" t="s">
        <v>29</v>
      </c>
      <c r="G80" s="139">
        <v>1</v>
      </c>
    </row>
    <row r="81" spans="4:7">
      <c r="D81" s="2">
        <v>80</v>
      </c>
      <c r="E81" s="2" t="s">
        <v>30</v>
      </c>
      <c r="F81" s="118" t="s">
        <v>29</v>
      </c>
      <c r="G81" s="139">
        <v>1</v>
      </c>
    </row>
    <row r="82" spans="4:7">
      <c r="D82" s="2">
        <v>81</v>
      </c>
      <c r="E82" s="2" t="s">
        <v>96</v>
      </c>
      <c r="F82" s="118" t="s">
        <v>95</v>
      </c>
      <c r="G82" s="139">
        <v>1</v>
      </c>
    </row>
  </sheetData>
  <mergeCells count="3">
    <mergeCell ref="K14:K15"/>
    <mergeCell ref="L14:L15"/>
    <mergeCell ref="M15:N15"/>
  </mergeCells>
  <pageMargins left="0.7" right="0.7" top="1.21875" bottom="0.78740157499999996" header="0.3" footer="0.3"/>
  <pageSetup paperSize="9" orientation="portrait" verticalDpi="0" r:id="rId1"/>
  <headerFooter>
    <oddHeader>&amp;LKanton St.Gallen
Bau- und Umweltdepartement</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CE6D-7705-41EB-9642-A24EA9221E3D}">
  <sheetPr codeName="Tabelle2"/>
  <dimension ref="A1:O91"/>
  <sheetViews>
    <sheetView view="pageLayout" zoomScaleNormal="100" zoomScaleSheetLayoutView="130" workbookViewId="0">
      <selection activeCell="C7" sqref="C7:F7"/>
    </sheetView>
  </sheetViews>
  <sheetFormatPr baseColWidth="10" defaultColWidth="11.42578125" defaultRowHeight="12.75"/>
  <cols>
    <col min="1" max="1" width="8.5703125" style="8" customWidth="1"/>
    <col min="2" max="2" width="12" style="8" customWidth="1"/>
    <col min="3" max="4" width="7.7109375" style="8" customWidth="1"/>
    <col min="5" max="6" width="7.28515625" style="8" customWidth="1"/>
    <col min="7" max="8" width="7.7109375" style="8" customWidth="1"/>
    <col min="9" max="9" width="8.28515625" style="8" customWidth="1"/>
    <col min="10" max="10" width="8.85546875" style="8" customWidth="1"/>
    <col min="11" max="11" width="7.140625" style="8" customWidth="1"/>
    <col min="12" max="12" width="7.5703125" style="8" customWidth="1"/>
    <col min="13" max="13" width="9" style="8" customWidth="1"/>
    <col min="14" max="14" width="7.5703125" style="8" customWidth="1"/>
    <col min="15" max="15" width="11.28515625" style="8" customWidth="1"/>
    <col min="16" max="157" width="11.42578125" style="8" customWidth="1"/>
    <col min="158" max="16384" width="11.42578125" style="8"/>
  </cols>
  <sheetData>
    <row r="1" spans="1:15" ht="16.7" customHeight="1">
      <c r="A1" s="153"/>
      <c r="B1" s="154"/>
      <c r="C1" s="154"/>
      <c r="D1" s="154"/>
      <c r="E1" s="154"/>
      <c r="F1" s="155"/>
      <c r="G1" s="155"/>
      <c r="H1" s="155"/>
      <c r="I1" s="155"/>
      <c r="J1" s="155"/>
      <c r="K1" s="155"/>
      <c r="L1" s="155"/>
      <c r="M1" s="155"/>
      <c r="N1" s="155"/>
      <c r="O1" s="156" t="s">
        <v>812</v>
      </c>
    </row>
    <row r="2" spans="1:15" ht="5.0999999999999996" customHeight="1">
      <c r="A2" s="157"/>
      <c r="B2" s="158"/>
      <c r="C2" s="158"/>
      <c r="D2" s="158"/>
      <c r="E2" s="158"/>
      <c r="F2" s="159"/>
      <c r="G2" s="159"/>
      <c r="H2" s="159"/>
      <c r="I2" s="159"/>
      <c r="J2" s="159"/>
      <c r="K2" s="159"/>
      <c r="L2" s="159"/>
      <c r="M2" s="159"/>
      <c r="N2" s="159"/>
      <c r="O2" s="160"/>
    </row>
    <row r="3" spans="1:15" ht="14.25" customHeight="1">
      <c r="A3" s="332" t="s">
        <v>144</v>
      </c>
      <c r="B3" s="333"/>
      <c r="C3" s="154"/>
      <c r="D3" s="155"/>
      <c r="E3" s="154"/>
      <c r="F3" s="155"/>
      <c r="G3" s="155"/>
      <c r="H3" s="155"/>
      <c r="I3" s="155"/>
      <c r="J3" s="155"/>
      <c r="K3" s="155"/>
      <c r="L3" s="155"/>
      <c r="M3" s="155"/>
      <c r="N3" s="155"/>
      <c r="O3" s="161"/>
    </row>
    <row r="4" spans="1:15" ht="14.25" customHeight="1">
      <c r="A4" s="334" t="s">
        <v>143</v>
      </c>
      <c r="B4" s="335"/>
      <c r="C4" s="348"/>
      <c r="D4" s="348"/>
      <c r="E4" s="348"/>
      <c r="F4" s="348"/>
      <c r="G4" s="162"/>
      <c r="H4" s="162"/>
      <c r="I4" s="162"/>
      <c r="J4" s="162" t="s">
        <v>142</v>
      </c>
      <c r="K4" s="162"/>
      <c r="L4" s="315"/>
      <c r="M4" s="315"/>
      <c r="N4" s="315"/>
      <c r="O4" s="320"/>
    </row>
    <row r="5" spans="1:15" s="28" customFormat="1" ht="14.25" customHeight="1">
      <c r="A5" s="345" t="s">
        <v>647</v>
      </c>
      <c r="B5" s="346"/>
      <c r="C5" s="315"/>
      <c r="D5" s="315"/>
      <c r="E5" s="315"/>
      <c r="F5" s="315"/>
      <c r="G5" s="163" t="str">
        <f>"Gemeinde"&amp;SUBSTITUTE(SUBSTITUTE(_xlfn.XLOOKUP(Berechnung_Einleitung!B8,Auswahlliste!D2:D176,Auswahlliste!D2:D176,)," ",""),"-","")</f>
        <v>Gemeinde23</v>
      </c>
      <c r="H5" s="162"/>
      <c r="I5" s="162"/>
      <c r="J5" s="162" t="s">
        <v>141</v>
      </c>
      <c r="K5" s="162"/>
      <c r="L5" s="315"/>
      <c r="M5" s="315"/>
      <c r="N5" s="315"/>
      <c r="O5" s="320"/>
    </row>
    <row r="6" spans="1:15" s="12" customFormat="1" ht="14.25" customHeight="1">
      <c r="A6" s="334" t="s">
        <v>145</v>
      </c>
      <c r="B6" s="335"/>
      <c r="C6" s="315"/>
      <c r="D6" s="315"/>
      <c r="E6" s="315"/>
      <c r="F6" s="315"/>
      <c r="G6" s="162"/>
      <c r="H6" s="162"/>
      <c r="I6" s="162"/>
      <c r="J6" s="162" t="s">
        <v>139</v>
      </c>
      <c r="K6" s="162"/>
      <c r="L6" s="315"/>
      <c r="M6" s="315"/>
      <c r="N6" s="315"/>
      <c r="O6" s="320"/>
    </row>
    <row r="7" spans="1:15" s="12" customFormat="1" ht="14.25" customHeight="1">
      <c r="A7" s="334" t="s">
        <v>140</v>
      </c>
      <c r="B7" s="335"/>
      <c r="C7" s="316" t="s">
        <v>536</v>
      </c>
      <c r="D7" s="347"/>
      <c r="E7" s="347"/>
      <c r="F7" s="318"/>
      <c r="G7" s="162"/>
      <c r="H7" s="162"/>
      <c r="I7" s="162"/>
      <c r="J7" s="162" t="s">
        <v>137</v>
      </c>
      <c r="K7" s="162"/>
      <c r="L7" s="315"/>
      <c r="M7" s="315"/>
      <c r="N7" s="315"/>
      <c r="O7" s="320"/>
    </row>
    <row r="8" spans="1:15" s="17" customFormat="1" ht="14.25" customHeight="1">
      <c r="A8" s="171" t="s">
        <v>669</v>
      </c>
      <c r="B8" s="162"/>
      <c r="C8" s="148" cm="1">
        <f t="array" ref="C8">_xlfn.XLOOKUP(G5&amp;C7,Abflussbeiwerte!B2:B2000&amp;Abflussbeiwerte!C2:C2000,Abflussbeiwerte!E2:E2000,,FALSE)</f>
        <v>0.1</v>
      </c>
      <c r="D8" s="344" t="s">
        <v>676</v>
      </c>
      <c r="E8" s="344"/>
      <c r="F8" s="272"/>
      <c r="G8" s="162"/>
      <c r="H8" s="162"/>
      <c r="I8" s="162"/>
      <c r="J8" s="162" t="s">
        <v>138</v>
      </c>
      <c r="K8" s="162"/>
      <c r="L8" s="321"/>
      <c r="M8" s="322"/>
      <c r="N8" s="322"/>
      <c r="O8" s="323"/>
    </row>
    <row r="9" spans="1:15" s="12" customFormat="1" ht="5.0999999999999996" customHeight="1">
      <c r="A9" s="166"/>
      <c r="B9" s="167"/>
      <c r="C9" s="168"/>
      <c r="D9" s="168"/>
      <c r="E9" s="168"/>
      <c r="F9" s="167"/>
      <c r="G9" s="167"/>
      <c r="H9" s="167"/>
      <c r="I9" s="167"/>
      <c r="J9" s="167"/>
      <c r="K9" s="167"/>
      <c r="L9" s="167"/>
      <c r="M9" s="167"/>
      <c r="N9" s="167"/>
      <c r="O9" s="169"/>
    </row>
    <row r="10" spans="1:15" s="12" customFormat="1" ht="7.5" customHeight="1">
      <c r="A10" s="164"/>
      <c r="B10" s="164"/>
      <c r="C10" s="165"/>
      <c r="D10" s="165"/>
      <c r="E10" s="165"/>
      <c r="F10" s="164"/>
      <c r="G10" s="164"/>
      <c r="H10" s="164"/>
      <c r="I10" s="164"/>
      <c r="J10" s="164"/>
      <c r="K10" s="164"/>
      <c r="L10" s="164"/>
      <c r="M10" s="155"/>
      <c r="N10" s="155"/>
      <c r="O10" s="155"/>
    </row>
    <row r="11" spans="1:15" s="12" customFormat="1" ht="10.15" customHeight="1">
      <c r="A11" s="172"/>
      <c r="B11" s="173"/>
      <c r="C11" s="174"/>
      <c r="D11" s="174"/>
      <c r="E11" s="174"/>
      <c r="F11" s="173"/>
      <c r="G11" s="173"/>
      <c r="H11" s="173"/>
      <c r="I11" s="173"/>
      <c r="J11" s="173"/>
      <c r="K11" s="173"/>
      <c r="L11" s="173"/>
      <c r="M11" s="173"/>
      <c r="N11" s="173"/>
      <c r="O11" s="175"/>
    </row>
    <row r="12" spans="1:15" s="12" customFormat="1" ht="14.1" customHeight="1">
      <c r="A12" s="176" t="s">
        <v>736</v>
      </c>
      <c r="B12" s="164"/>
      <c r="C12" s="164"/>
      <c r="D12" s="164"/>
      <c r="E12" s="164"/>
      <c r="F12" s="164"/>
      <c r="G12" s="164"/>
      <c r="H12" s="164"/>
      <c r="I12" s="164"/>
      <c r="J12" s="164"/>
      <c r="K12" s="310" t="s">
        <v>136</v>
      </c>
      <c r="L12" s="310"/>
      <c r="M12" s="178" t="s">
        <v>674</v>
      </c>
      <c r="N12" s="310" t="s">
        <v>135</v>
      </c>
      <c r="O12" s="311"/>
    </row>
    <row r="13" spans="1:15" s="12" customFormat="1" ht="6" customHeight="1">
      <c r="A13" s="179"/>
      <c r="B13" s="180"/>
      <c r="C13" s="180"/>
      <c r="D13" s="164"/>
      <c r="E13" s="164"/>
      <c r="F13" s="164"/>
      <c r="G13" s="164"/>
      <c r="H13" s="164"/>
      <c r="I13" s="164"/>
      <c r="J13" s="164"/>
      <c r="K13" s="324" t="s">
        <v>133</v>
      </c>
      <c r="L13" s="324"/>
      <c r="M13" s="324" t="s">
        <v>134</v>
      </c>
      <c r="N13" s="324" t="s">
        <v>133</v>
      </c>
      <c r="O13" s="326"/>
    </row>
    <row r="14" spans="1:15" s="12" customFormat="1" ht="12.2" customHeight="1">
      <c r="A14" s="181" t="s">
        <v>132</v>
      </c>
      <c r="B14" s="182"/>
      <c r="C14" s="182"/>
      <c r="D14" s="182"/>
      <c r="E14" s="182"/>
      <c r="F14" s="182"/>
      <c r="G14" s="182"/>
      <c r="H14" s="182"/>
      <c r="I14" s="182"/>
      <c r="J14" s="182"/>
      <c r="K14" s="325"/>
      <c r="L14" s="325"/>
      <c r="M14" s="325"/>
      <c r="N14" s="325"/>
      <c r="O14" s="327"/>
    </row>
    <row r="15" spans="1:15" s="12" customFormat="1" ht="14.45" customHeight="1">
      <c r="A15" s="302" t="s">
        <v>131</v>
      </c>
      <c r="B15" s="303"/>
      <c r="C15" s="303"/>
      <c r="D15" s="303"/>
      <c r="E15" s="303"/>
      <c r="F15" s="303"/>
      <c r="G15" s="303"/>
      <c r="H15" s="303"/>
      <c r="I15" s="303"/>
      <c r="J15" s="328"/>
      <c r="K15" s="306"/>
      <c r="L15" s="307"/>
      <c r="M15" s="96">
        <v>1</v>
      </c>
      <c r="N15" s="329" t="str">
        <f t="shared" ref="N15:N23" si="0">IF(ISNUMBER(K15),K15*M15,"")</f>
        <v/>
      </c>
      <c r="O15" s="330"/>
    </row>
    <row r="16" spans="1:15" s="12" customFormat="1" ht="14.45" customHeight="1">
      <c r="A16" s="302" t="s">
        <v>130</v>
      </c>
      <c r="B16" s="303"/>
      <c r="C16" s="303"/>
      <c r="D16" s="303"/>
      <c r="E16" s="303"/>
      <c r="F16" s="303"/>
      <c r="G16" s="303"/>
      <c r="H16" s="303"/>
      <c r="I16" s="303"/>
      <c r="J16" s="328"/>
      <c r="K16" s="306"/>
      <c r="L16" s="307"/>
      <c r="M16" s="96">
        <v>1</v>
      </c>
      <c r="N16" s="329" t="str">
        <f t="shared" si="0"/>
        <v/>
      </c>
      <c r="O16" s="330"/>
    </row>
    <row r="17" spans="1:15" s="12" customFormat="1" ht="14.45" customHeight="1">
      <c r="A17" s="341" t="s">
        <v>670</v>
      </c>
      <c r="B17" s="342"/>
      <c r="C17" s="342"/>
      <c r="D17" s="342"/>
      <c r="E17" s="342"/>
      <c r="F17" s="342"/>
      <c r="G17" s="342"/>
      <c r="H17" s="342"/>
      <c r="I17" s="342"/>
      <c r="J17" s="343"/>
      <c r="K17" s="306"/>
      <c r="L17" s="307"/>
      <c r="M17" s="96">
        <v>0.7</v>
      </c>
      <c r="N17" s="329" t="str">
        <f t="shared" si="0"/>
        <v/>
      </c>
      <c r="O17" s="330"/>
    </row>
    <row r="18" spans="1:15" s="12" customFormat="1" ht="14.45" customHeight="1">
      <c r="A18" s="341" t="s">
        <v>671</v>
      </c>
      <c r="B18" s="342"/>
      <c r="C18" s="342"/>
      <c r="D18" s="342"/>
      <c r="E18" s="342"/>
      <c r="F18" s="342"/>
      <c r="G18" s="342"/>
      <c r="H18" s="342"/>
      <c r="I18" s="342"/>
      <c r="J18" s="343"/>
      <c r="K18" s="306"/>
      <c r="L18" s="307"/>
      <c r="M18" s="96">
        <v>0.4</v>
      </c>
      <c r="N18" s="329" t="str">
        <f t="shared" ref="N18" si="1">IF(ISNUMBER(K18),K18*M18,"")</f>
        <v/>
      </c>
      <c r="O18" s="330"/>
    </row>
    <row r="19" spans="1:15" s="12" customFormat="1" ht="14.45" customHeight="1">
      <c r="A19" s="341" t="s">
        <v>672</v>
      </c>
      <c r="B19" s="342"/>
      <c r="C19" s="342"/>
      <c r="D19" s="342"/>
      <c r="E19" s="342"/>
      <c r="F19" s="342"/>
      <c r="G19" s="342"/>
      <c r="H19" s="342"/>
      <c r="I19" s="342"/>
      <c r="J19" s="343"/>
      <c r="K19" s="306"/>
      <c r="L19" s="307"/>
      <c r="M19" s="96">
        <v>0.3</v>
      </c>
      <c r="N19" s="329" t="str">
        <f t="shared" si="0"/>
        <v/>
      </c>
      <c r="O19" s="330"/>
    </row>
    <row r="20" spans="1:15" s="12" customFormat="1" ht="14.45" customHeight="1">
      <c r="A20" s="349" t="s">
        <v>673</v>
      </c>
      <c r="B20" s="342"/>
      <c r="C20" s="342"/>
      <c r="D20" s="342"/>
      <c r="E20" s="342"/>
      <c r="F20" s="342"/>
      <c r="G20" s="342"/>
      <c r="H20" s="342"/>
      <c r="I20" s="342"/>
      <c r="J20" s="343"/>
      <c r="K20" s="306"/>
      <c r="L20" s="307"/>
      <c r="M20" s="96">
        <v>0.2</v>
      </c>
      <c r="N20" s="329" t="str">
        <f t="shared" si="0"/>
        <v/>
      </c>
      <c r="O20" s="330"/>
    </row>
    <row r="21" spans="1:15" s="12" customFormat="1" ht="14.45" customHeight="1">
      <c r="A21" s="341" t="s">
        <v>166</v>
      </c>
      <c r="B21" s="342"/>
      <c r="C21" s="342"/>
      <c r="D21" s="342"/>
      <c r="E21" s="342"/>
      <c r="F21" s="342"/>
      <c r="G21" s="342"/>
      <c r="H21" s="342"/>
      <c r="I21" s="342"/>
      <c r="J21" s="343"/>
      <c r="K21" s="306"/>
      <c r="L21" s="307"/>
      <c r="M21" s="96">
        <v>0.1</v>
      </c>
      <c r="N21" s="329" t="str">
        <f t="shared" si="0"/>
        <v/>
      </c>
      <c r="O21" s="330"/>
    </row>
    <row r="22" spans="1:15" s="12" customFormat="1" ht="14.45" customHeight="1">
      <c r="A22" s="302" t="s">
        <v>129</v>
      </c>
      <c r="B22" s="303"/>
      <c r="C22" s="303"/>
      <c r="D22" s="303"/>
      <c r="E22" s="303"/>
      <c r="F22" s="303"/>
      <c r="G22" s="303"/>
      <c r="H22" s="303"/>
      <c r="I22" s="303"/>
      <c r="J22" s="328"/>
      <c r="K22" s="306"/>
      <c r="L22" s="307"/>
      <c r="M22" s="96">
        <v>0.8</v>
      </c>
      <c r="N22" s="329" t="str">
        <f t="shared" si="0"/>
        <v/>
      </c>
      <c r="O22" s="330"/>
    </row>
    <row r="23" spans="1:15" s="12" customFormat="1" ht="14.45" customHeight="1">
      <c r="A23" s="302" t="s">
        <v>128</v>
      </c>
      <c r="B23" s="303"/>
      <c r="C23" s="303"/>
      <c r="D23" s="303"/>
      <c r="E23" s="303"/>
      <c r="F23" s="303"/>
      <c r="G23" s="303"/>
      <c r="H23" s="303"/>
      <c r="I23" s="303"/>
      <c r="J23" s="328"/>
      <c r="K23" s="306"/>
      <c r="L23" s="307"/>
      <c r="M23" s="96">
        <v>1</v>
      </c>
      <c r="N23" s="308" t="str">
        <f t="shared" si="0"/>
        <v/>
      </c>
      <c r="O23" s="309"/>
    </row>
    <row r="24" spans="1:15" s="12" customFormat="1" ht="6.95" customHeight="1">
      <c r="A24" s="183"/>
      <c r="B24" s="184"/>
      <c r="C24" s="184"/>
      <c r="D24" s="184"/>
      <c r="E24" s="184"/>
      <c r="F24" s="184"/>
      <c r="G24" s="184"/>
      <c r="H24" s="184"/>
      <c r="I24" s="184"/>
      <c r="J24" s="184"/>
      <c r="K24" s="185"/>
      <c r="L24" s="185"/>
      <c r="M24" s="186"/>
      <c r="N24" s="185"/>
      <c r="O24" s="187"/>
    </row>
    <row r="25" spans="1:15" s="12" customFormat="1" ht="11.25" customHeight="1">
      <c r="A25" s="181" t="s">
        <v>127</v>
      </c>
      <c r="B25" s="182"/>
      <c r="C25" s="182"/>
      <c r="D25" s="182"/>
      <c r="E25" s="182"/>
      <c r="F25" s="182"/>
      <c r="G25" s="182"/>
      <c r="H25" s="182"/>
      <c r="I25" s="350" t="s">
        <v>646</v>
      </c>
      <c r="J25" s="350"/>
      <c r="K25" s="182"/>
      <c r="L25" s="182"/>
      <c r="M25" s="182"/>
      <c r="N25" s="182"/>
      <c r="O25" s="188"/>
    </row>
    <row r="26" spans="1:15" s="12" customFormat="1" ht="14.45" customHeight="1">
      <c r="A26" s="302" t="s">
        <v>167</v>
      </c>
      <c r="B26" s="303"/>
      <c r="C26" s="303"/>
      <c r="D26" s="303"/>
      <c r="E26" s="303"/>
      <c r="F26" s="303"/>
      <c r="G26" s="303"/>
      <c r="H26" s="303"/>
      <c r="I26" s="304" t="s">
        <v>280</v>
      </c>
      <c r="J26" s="305"/>
      <c r="K26" s="306"/>
      <c r="L26" s="307"/>
      <c r="M26" s="96">
        <v>1</v>
      </c>
      <c r="N26" s="308" t="str">
        <f t="shared" ref="N26:N34" si="2">IF(ISNUMBER(K26),K26*M26,"")</f>
        <v/>
      </c>
      <c r="O26" s="309"/>
    </row>
    <row r="27" spans="1:15" s="12" customFormat="1" ht="14.45" customHeight="1">
      <c r="A27" s="302" t="s">
        <v>125</v>
      </c>
      <c r="B27" s="303"/>
      <c r="C27" s="303"/>
      <c r="D27" s="303"/>
      <c r="E27" s="303"/>
      <c r="F27" s="303"/>
      <c r="G27" s="303"/>
      <c r="H27" s="303"/>
      <c r="I27" s="304" t="s">
        <v>280</v>
      </c>
      <c r="J27" s="305"/>
      <c r="K27" s="306"/>
      <c r="L27" s="307"/>
      <c r="M27" s="96">
        <f>IF(I27="Gering",0.4,IF(I27="Mässig",0.6,IF(I27="Stark",0.8,0.4)))</f>
        <v>0.6</v>
      </c>
      <c r="N27" s="308" t="str">
        <f>IF(ISNUMBER(K27),K27*M27,"")</f>
        <v/>
      </c>
      <c r="O27" s="309"/>
    </row>
    <row r="28" spans="1:15" s="12" customFormat="1" ht="14.45" customHeight="1">
      <c r="A28" s="341" t="s">
        <v>675</v>
      </c>
      <c r="B28" s="342"/>
      <c r="C28" s="342"/>
      <c r="D28" s="342"/>
      <c r="E28" s="342"/>
      <c r="F28" s="342"/>
      <c r="G28" s="342"/>
      <c r="H28" s="342"/>
      <c r="I28" s="304" t="s">
        <v>280</v>
      </c>
      <c r="J28" s="305"/>
      <c r="K28" s="306"/>
      <c r="L28" s="307"/>
      <c r="M28" s="96">
        <f>IF(I28="Gering",0.2,IF(I28="Mässig",0.3,IF(I28="Stark",0.4,0.2)))</f>
        <v>0.3</v>
      </c>
      <c r="N28" s="308" t="str">
        <f>IF(ISNUMBER(K28),K28*M28,"")</f>
        <v/>
      </c>
      <c r="O28" s="309"/>
    </row>
    <row r="29" spans="1:15" s="12" customFormat="1" ht="14.45" customHeight="1">
      <c r="A29" s="302" t="s">
        <v>168</v>
      </c>
      <c r="B29" s="303"/>
      <c r="C29" s="303"/>
      <c r="D29" s="303"/>
      <c r="E29" s="303"/>
      <c r="F29" s="303"/>
      <c r="G29" s="303"/>
      <c r="H29" s="303"/>
      <c r="I29" s="304" t="s">
        <v>280</v>
      </c>
      <c r="J29" s="305"/>
      <c r="K29" s="306"/>
      <c r="L29" s="307"/>
      <c r="M29" s="96">
        <f>IF(I29="Gering",0.2,IF(I29="Mässig",0.5,IF(I29="Stark",0.8,0.2)))</f>
        <v>0.5</v>
      </c>
      <c r="N29" s="308" t="str">
        <f t="shared" si="2"/>
        <v/>
      </c>
      <c r="O29" s="309"/>
    </row>
    <row r="30" spans="1:15" s="12" customFormat="1" ht="14.45" customHeight="1">
      <c r="A30" s="302" t="s">
        <v>126</v>
      </c>
      <c r="B30" s="303"/>
      <c r="C30" s="303"/>
      <c r="D30" s="303"/>
      <c r="E30" s="303"/>
      <c r="F30" s="303"/>
      <c r="G30" s="303"/>
      <c r="H30" s="303"/>
      <c r="I30" s="304" t="s">
        <v>280</v>
      </c>
      <c r="J30" s="305"/>
      <c r="K30" s="306"/>
      <c r="L30" s="307"/>
      <c r="M30" s="96">
        <v>1</v>
      </c>
      <c r="N30" s="308" t="str">
        <f t="shared" si="2"/>
        <v/>
      </c>
      <c r="O30" s="309"/>
    </row>
    <row r="31" spans="1:15" s="12" customFormat="1" ht="14.45" customHeight="1">
      <c r="A31" s="302" t="s">
        <v>169</v>
      </c>
      <c r="B31" s="303"/>
      <c r="C31" s="303"/>
      <c r="D31" s="303"/>
      <c r="E31" s="303"/>
      <c r="F31" s="303"/>
      <c r="G31" s="303"/>
      <c r="H31" s="303"/>
      <c r="I31" s="304" t="s">
        <v>280</v>
      </c>
      <c r="J31" s="305"/>
      <c r="K31" s="306"/>
      <c r="L31" s="307"/>
      <c r="M31" s="96">
        <f>IF(I31="Gering",0.6,IF(I31="Mässig",0.8,IF(I31="Stark",0.9,0.6)))</f>
        <v>0.8</v>
      </c>
      <c r="N31" s="308" t="str">
        <f t="shared" si="2"/>
        <v/>
      </c>
      <c r="O31" s="309"/>
    </row>
    <row r="32" spans="1:15" s="12" customFormat="1" ht="14.45" customHeight="1">
      <c r="A32" s="302" t="s">
        <v>170</v>
      </c>
      <c r="B32" s="303"/>
      <c r="C32" s="303"/>
      <c r="D32" s="303"/>
      <c r="E32" s="303"/>
      <c r="F32" s="303"/>
      <c r="G32" s="303"/>
      <c r="H32" s="303"/>
      <c r="I32" s="304" t="s">
        <v>280</v>
      </c>
      <c r="J32" s="305"/>
      <c r="K32" s="306"/>
      <c r="L32" s="307"/>
      <c r="M32" s="96">
        <f>IF(I32="Gering",0.2,IF(I32="Mässig",0.4,IF(I32="Stark",0.6,0.2)))</f>
        <v>0.4</v>
      </c>
      <c r="N32" s="308" t="str">
        <f t="shared" si="2"/>
        <v/>
      </c>
      <c r="O32" s="309"/>
    </row>
    <row r="33" spans="1:15" s="12" customFormat="1" ht="14.45" customHeight="1">
      <c r="A33" s="302" t="s">
        <v>171</v>
      </c>
      <c r="B33" s="303"/>
      <c r="C33" s="303"/>
      <c r="D33" s="303"/>
      <c r="E33" s="303"/>
      <c r="F33" s="303"/>
      <c r="G33" s="303"/>
      <c r="H33" s="303"/>
      <c r="I33" s="304" t="s">
        <v>280</v>
      </c>
      <c r="J33" s="305"/>
      <c r="K33" s="306"/>
      <c r="L33" s="307"/>
      <c r="M33" s="96">
        <f>IF(I33="Gering",0.2,IF(I33="Mässig",0.4,IF(I33="Stark",0.6,0.2)))</f>
        <v>0.4</v>
      </c>
      <c r="N33" s="308" t="str">
        <f t="shared" si="2"/>
        <v/>
      </c>
      <c r="O33" s="309"/>
    </row>
    <row r="34" spans="1:15" s="12" customFormat="1" ht="14.45" customHeight="1">
      <c r="A34" s="302" t="s">
        <v>124</v>
      </c>
      <c r="B34" s="303"/>
      <c r="C34" s="303"/>
      <c r="D34" s="303"/>
      <c r="E34" s="303"/>
      <c r="F34" s="303"/>
      <c r="G34" s="303"/>
      <c r="H34" s="303"/>
      <c r="I34" s="304" t="s">
        <v>280</v>
      </c>
      <c r="J34" s="305"/>
      <c r="K34" s="306"/>
      <c r="L34" s="307"/>
      <c r="M34" s="96">
        <f>IF(I34="Gering",0.2,IF(I34="Mässig",0.4,IF(I34="Stark",0.6,0.2)))</f>
        <v>0.4</v>
      </c>
      <c r="N34" s="308" t="str">
        <f t="shared" si="2"/>
        <v/>
      </c>
      <c r="O34" s="309"/>
    </row>
    <row r="35" spans="1:15" s="12" customFormat="1" ht="14.45" customHeight="1">
      <c r="A35" s="302" t="s">
        <v>172</v>
      </c>
      <c r="B35" s="303"/>
      <c r="C35" s="303"/>
      <c r="D35" s="303"/>
      <c r="E35" s="303"/>
      <c r="F35" s="303"/>
      <c r="G35" s="303"/>
      <c r="H35" s="303"/>
      <c r="I35" s="304" t="s">
        <v>280</v>
      </c>
      <c r="J35" s="305"/>
      <c r="K35" s="306"/>
      <c r="L35" s="307"/>
      <c r="M35" s="96">
        <v>0.6</v>
      </c>
      <c r="N35" s="308" t="str">
        <f>IF(ISNUMBER(K35),K35*M35,"")</f>
        <v/>
      </c>
      <c r="O35" s="309"/>
    </row>
    <row r="36" spans="1:15" s="12" customFormat="1" ht="14.45" customHeight="1">
      <c r="A36" s="302" t="s">
        <v>173</v>
      </c>
      <c r="B36" s="303"/>
      <c r="C36" s="303"/>
      <c r="D36" s="303"/>
      <c r="E36" s="303"/>
      <c r="F36" s="303"/>
      <c r="G36" s="303"/>
      <c r="H36" s="303"/>
      <c r="I36" s="304" t="s">
        <v>280</v>
      </c>
      <c r="J36" s="305"/>
      <c r="K36" s="306"/>
      <c r="L36" s="307"/>
      <c r="M36" s="96">
        <v>0.2</v>
      </c>
      <c r="N36" s="308" t="str">
        <f>IF(ISNUMBER(K36),K36*M36,"")</f>
        <v/>
      </c>
      <c r="O36" s="309"/>
    </row>
    <row r="37" spans="1:15" s="12" customFormat="1" ht="6.95" customHeight="1">
      <c r="A37" s="183"/>
      <c r="B37" s="184"/>
      <c r="C37" s="184"/>
      <c r="D37" s="184"/>
      <c r="E37" s="184"/>
      <c r="F37" s="184"/>
      <c r="G37" s="184"/>
      <c r="H37" s="184"/>
      <c r="I37" s="184"/>
      <c r="J37" s="184"/>
      <c r="K37" s="185"/>
      <c r="L37" s="185"/>
      <c r="M37" s="186"/>
      <c r="N37" s="185"/>
      <c r="O37" s="187"/>
    </row>
    <row r="38" spans="1:15" s="12" customFormat="1" ht="12.2" customHeight="1">
      <c r="A38" s="181" t="s">
        <v>123</v>
      </c>
      <c r="B38" s="182"/>
      <c r="C38" s="182"/>
      <c r="D38" s="182"/>
      <c r="E38" s="182"/>
      <c r="F38" s="182"/>
      <c r="G38" s="182"/>
      <c r="H38" s="182"/>
      <c r="I38" s="182"/>
      <c r="J38" s="182"/>
      <c r="K38" s="182"/>
      <c r="L38" s="182"/>
      <c r="M38" s="182"/>
      <c r="N38" s="182"/>
      <c r="O38" s="188"/>
    </row>
    <row r="39" spans="1:15" s="12" customFormat="1" ht="14.45" customHeight="1">
      <c r="A39" s="302" t="s">
        <v>271</v>
      </c>
      <c r="B39" s="303"/>
      <c r="C39" s="303"/>
      <c r="D39" s="303"/>
      <c r="E39" s="303"/>
      <c r="F39" s="303"/>
      <c r="G39" s="303"/>
      <c r="H39" s="303"/>
      <c r="I39" s="304" t="s">
        <v>280</v>
      </c>
      <c r="J39" s="305"/>
      <c r="K39" s="306"/>
      <c r="L39" s="307"/>
      <c r="M39" s="96">
        <v>0.2</v>
      </c>
      <c r="N39" s="308" t="str">
        <f>IF(ISNUMBER(K39),K39*M39,"")</f>
        <v/>
      </c>
      <c r="O39" s="309"/>
    </row>
    <row r="40" spans="1:15" s="12" customFormat="1" ht="14.45" customHeight="1">
      <c r="A40" s="302" t="s">
        <v>288</v>
      </c>
      <c r="B40" s="303"/>
      <c r="C40" s="303"/>
      <c r="D40" s="303"/>
      <c r="E40" s="303"/>
      <c r="F40" s="303"/>
      <c r="G40" s="303"/>
      <c r="H40" s="303"/>
      <c r="I40" s="304" t="s">
        <v>280</v>
      </c>
      <c r="J40" s="305"/>
      <c r="K40" s="306"/>
      <c r="L40" s="307"/>
      <c r="M40" s="96">
        <v>0.3</v>
      </c>
      <c r="N40" s="116"/>
      <c r="O40" s="117"/>
    </row>
    <row r="41" spans="1:15" s="12" customFormat="1" ht="14.45" customHeight="1">
      <c r="A41" s="302" t="s">
        <v>270</v>
      </c>
      <c r="B41" s="303"/>
      <c r="C41" s="303"/>
      <c r="D41" s="303"/>
      <c r="E41" s="303"/>
      <c r="F41" s="303"/>
      <c r="G41" s="303"/>
      <c r="H41" s="303"/>
      <c r="I41" s="304" t="s">
        <v>280</v>
      </c>
      <c r="J41" s="305"/>
      <c r="K41" s="306"/>
      <c r="L41" s="307"/>
      <c r="M41" s="96">
        <v>0</v>
      </c>
      <c r="N41" s="308" t="str">
        <f>IF(ISNUMBER(K41),K41*M41,"")</f>
        <v/>
      </c>
      <c r="O41" s="309"/>
    </row>
    <row r="42" spans="1:15" s="12" customFormat="1" ht="6.95" customHeight="1">
      <c r="A42" s="183"/>
      <c r="B42" s="184"/>
      <c r="C42" s="184"/>
      <c r="D42" s="184"/>
      <c r="E42" s="184"/>
      <c r="F42" s="184"/>
      <c r="G42" s="184"/>
      <c r="H42" s="184"/>
      <c r="I42" s="184"/>
      <c r="J42" s="184"/>
      <c r="K42" s="185"/>
      <c r="L42" s="185"/>
      <c r="M42" s="186"/>
      <c r="N42" s="185"/>
      <c r="O42" s="187"/>
    </row>
    <row r="43" spans="1:15" s="12" customFormat="1" ht="12.2" customHeight="1">
      <c r="A43" s="181" t="s">
        <v>291</v>
      </c>
      <c r="B43" s="182"/>
      <c r="C43" s="182"/>
      <c r="D43" s="182"/>
      <c r="E43" s="182"/>
      <c r="F43" s="182"/>
      <c r="G43" s="182"/>
      <c r="H43" s="182"/>
      <c r="I43" s="182"/>
      <c r="J43" s="182"/>
      <c r="K43" s="182"/>
      <c r="L43" s="182"/>
      <c r="M43" s="182"/>
      <c r="N43" s="182"/>
      <c r="O43" s="188"/>
    </row>
    <row r="44" spans="1:15" s="12" customFormat="1" ht="14.45" customHeight="1">
      <c r="A44" s="312"/>
      <c r="B44" s="313"/>
      <c r="C44" s="313"/>
      <c r="D44" s="313"/>
      <c r="E44" s="313"/>
      <c r="F44" s="313"/>
      <c r="G44" s="313"/>
      <c r="H44" s="314"/>
      <c r="I44" s="304" t="s">
        <v>280</v>
      </c>
      <c r="J44" s="305"/>
      <c r="K44" s="306"/>
      <c r="L44" s="307"/>
      <c r="M44" s="97"/>
      <c r="N44" s="308" t="str">
        <f>IF(ISNUMBER(K44),K44*M44,"")</f>
        <v/>
      </c>
      <c r="O44" s="309"/>
    </row>
    <row r="45" spans="1:15" s="12" customFormat="1" ht="14.45" customHeight="1">
      <c r="A45" s="312"/>
      <c r="B45" s="313"/>
      <c r="C45" s="313"/>
      <c r="D45" s="313"/>
      <c r="E45" s="313"/>
      <c r="F45" s="313"/>
      <c r="G45" s="313"/>
      <c r="H45" s="314"/>
      <c r="I45" s="304" t="s">
        <v>280</v>
      </c>
      <c r="J45" s="305"/>
      <c r="K45" s="306"/>
      <c r="L45" s="307"/>
      <c r="M45" s="97"/>
      <c r="N45" s="116"/>
      <c r="O45" s="117"/>
    </row>
    <row r="46" spans="1:15" s="12" customFormat="1" ht="14.45" customHeight="1">
      <c r="A46" s="312"/>
      <c r="B46" s="313"/>
      <c r="C46" s="313"/>
      <c r="D46" s="313"/>
      <c r="E46" s="313"/>
      <c r="F46" s="313"/>
      <c r="G46" s="313"/>
      <c r="H46" s="314"/>
      <c r="I46" s="304" t="s">
        <v>280</v>
      </c>
      <c r="J46" s="305"/>
      <c r="K46" s="306"/>
      <c r="L46" s="307"/>
      <c r="M46" s="97"/>
      <c r="N46" s="308" t="str">
        <f>IF(ISNUMBER(K46),K46*M46,"")</f>
        <v/>
      </c>
      <c r="O46" s="309"/>
    </row>
    <row r="47" spans="1:15" s="12" customFormat="1" ht="14.45" customHeight="1">
      <c r="A47" s="312"/>
      <c r="B47" s="313"/>
      <c r="C47" s="313"/>
      <c r="D47" s="313"/>
      <c r="E47" s="313"/>
      <c r="F47" s="313"/>
      <c r="G47" s="313"/>
      <c r="H47" s="314"/>
      <c r="I47" s="304" t="s">
        <v>280</v>
      </c>
      <c r="J47" s="305"/>
      <c r="K47" s="306"/>
      <c r="L47" s="307"/>
      <c r="M47" s="97"/>
      <c r="N47" s="308" t="str">
        <f>IF(ISNUMBER(K47),K47*M47,"")</f>
        <v/>
      </c>
      <c r="O47" s="309"/>
    </row>
    <row r="48" spans="1:15" s="12" customFormat="1" ht="6" customHeight="1">
      <c r="A48" s="164"/>
      <c r="B48" s="180"/>
      <c r="C48" s="164"/>
      <c r="D48" s="164"/>
      <c r="E48" s="164"/>
      <c r="F48" s="164"/>
      <c r="G48" s="164"/>
      <c r="H48" s="164"/>
      <c r="I48" s="164"/>
      <c r="J48" s="164"/>
      <c r="K48" s="180"/>
      <c r="L48" s="164"/>
      <c r="M48" s="164"/>
      <c r="N48" s="164"/>
      <c r="O48" s="191"/>
    </row>
    <row r="49" spans="1:15" s="17" customFormat="1" ht="14.45" customHeight="1">
      <c r="A49" s="164"/>
      <c r="B49" s="189"/>
      <c r="C49" s="189"/>
      <c r="D49" s="189"/>
      <c r="E49" s="189"/>
      <c r="F49" s="189"/>
      <c r="G49" s="189"/>
      <c r="H49" s="189"/>
      <c r="I49" s="310" t="s">
        <v>122</v>
      </c>
      <c r="J49" s="311"/>
      <c r="K49" s="308">
        <f>SUM(K15:L23,K26:L36,K39:L41,K44:L47)</f>
        <v>0</v>
      </c>
      <c r="L49" s="309"/>
      <c r="M49" s="189"/>
      <c r="N49" s="308">
        <f>SUM(N15:O23,N26:O36,N39:O41,N44:O47)</f>
        <v>0</v>
      </c>
      <c r="O49" s="309"/>
    </row>
    <row r="50" spans="1:15" s="12" customFormat="1" ht="7.5" customHeight="1">
      <c r="A50" s="164"/>
      <c r="B50" s="164"/>
      <c r="C50" s="165"/>
      <c r="D50" s="165"/>
      <c r="E50" s="165"/>
      <c r="F50" s="164"/>
      <c r="G50" s="164"/>
      <c r="H50" s="164"/>
      <c r="I50" s="164"/>
      <c r="J50" s="164"/>
      <c r="K50" s="164"/>
      <c r="L50" s="164"/>
      <c r="M50" s="164" t="str">
        <f>IF(N49="---","",IF(N49&gt;=2001,"&gt; 2000 m2 !!!",""))</f>
        <v/>
      </c>
      <c r="N50" s="164"/>
      <c r="O50" s="164"/>
    </row>
    <row r="51" spans="1:15" s="12" customFormat="1" ht="4.7" customHeight="1">
      <c r="A51" s="172"/>
      <c r="B51" s="173"/>
      <c r="C51" s="174"/>
      <c r="D51" s="174"/>
      <c r="E51" s="174"/>
      <c r="F51" s="173"/>
      <c r="G51" s="173"/>
      <c r="H51" s="173"/>
      <c r="I51" s="173"/>
      <c r="J51" s="173"/>
      <c r="K51" s="173"/>
      <c r="L51" s="173"/>
      <c r="M51" s="173"/>
      <c r="N51" s="173"/>
      <c r="O51" s="175"/>
    </row>
    <row r="52" spans="1:15" s="12" customFormat="1" ht="14.45" customHeight="1">
      <c r="A52" s="192" t="s">
        <v>739</v>
      </c>
      <c r="B52" s="164"/>
      <c r="C52" s="164"/>
      <c r="D52" s="164"/>
      <c r="E52" s="193"/>
      <c r="F52" s="194"/>
      <c r="G52" s="193"/>
      <c r="H52" s="194"/>
      <c r="I52" s="194"/>
      <c r="J52" s="193"/>
      <c r="K52" s="193"/>
      <c r="L52" s="193"/>
      <c r="M52" s="193"/>
      <c r="N52" s="193"/>
      <c r="O52" s="214"/>
    </row>
    <row r="53" spans="1:15" s="12" customFormat="1" ht="14.45" customHeight="1">
      <c r="A53" s="204" t="s">
        <v>648</v>
      </c>
      <c r="B53" s="189"/>
      <c r="C53" s="205"/>
      <c r="D53" s="340"/>
      <c r="E53" s="340"/>
      <c r="F53" s="340"/>
      <c r="G53" s="164"/>
      <c r="H53" s="164"/>
      <c r="I53" s="164"/>
      <c r="J53" s="155"/>
      <c r="K53" s="195"/>
      <c r="L53" s="195"/>
      <c r="M53" s="195"/>
      <c r="N53" s="202"/>
      <c r="O53" s="191"/>
    </row>
    <row r="54" spans="1:15" s="12" customFormat="1" ht="6" customHeight="1">
      <c r="A54" s="206"/>
      <c r="B54" s="193"/>
      <c r="C54" s="207"/>
      <c r="D54" s="211"/>
      <c r="E54" s="155"/>
      <c r="F54" s="155"/>
      <c r="G54" s="155"/>
      <c r="H54" s="155"/>
      <c r="I54" s="155"/>
      <c r="J54" s="155"/>
      <c r="K54" s="155"/>
      <c r="L54" s="155"/>
      <c r="M54" s="155"/>
      <c r="N54" s="164"/>
      <c r="O54" s="191"/>
    </row>
    <row r="55" spans="1:15" s="12" customFormat="1" ht="26.45" customHeight="1">
      <c r="A55" s="208" t="s">
        <v>677</v>
      </c>
      <c r="B55" s="193"/>
      <c r="C55" s="209"/>
      <c r="D55" s="211"/>
      <c r="E55" s="340"/>
      <c r="F55" s="340"/>
      <c r="G55" s="193" t="s">
        <v>688</v>
      </c>
      <c r="H55" s="263" t="s">
        <v>707</v>
      </c>
      <c r="I55" s="196"/>
      <c r="J55" s="197"/>
      <c r="K55" s="198" t="s">
        <v>678</v>
      </c>
      <c r="L55" s="340"/>
      <c r="M55" s="340"/>
      <c r="N55" s="196" t="s">
        <v>681</v>
      </c>
      <c r="O55" s="261" t="s">
        <v>708</v>
      </c>
    </row>
    <row r="56" spans="1:15" s="12" customFormat="1" ht="4.7" customHeight="1">
      <c r="A56" s="206"/>
      <c r="B56" s="193"/>
      <c r="C56" s="207"/>
      <c r="D56" s="211"/>
      <c r="E56" s="155"/>
      <c r="F56" s="155"/>
      <c r="G56" s="155"/>
      <c r="H56" s="155"/>
      <c r="I56" s="155"/>
      <c r="J56" s="155"/>
      <c r="K56" s="155"/>
      <c r="L56" s="155"/>
      <c r="M56" s="155"/>
      <c r="N56" s="164"/>
      <c r="O56" s="191"/>
    </row>
    <row r="57" spans="1:15" s="12" customFormat="1" ht="27" customHeight="1">
      <c r="A57" s="337" t="s">
        <v>783</v>
      </c>
      <c r="B57" s="338"/>
      <c r="C57" s="269" t="str">
        <f>IF(E55="","---",IF(L55="","---",L55*E55))</f>
        <v>---</v>
      </c>
      <c r="D57" s="270" t="s">
        <v>784</v>
      </c>
      <c r="E57" s="368"/>
      <c r="F57" s="368"/>
      <c r="G57" s="155" t="s">
        <v>203</v>
      </c>
      <c r="H57" s="155"/>
      <c r="I57" s="199"/>
      <c r="J57" s="200" t="s">
        <v>661</v>
      </c>
      <c r="K57" s="155"/>
      <c r="L57" s="339"/>
      <c r="M57" s="339"/>
      <c r="N57" s="202"/>
      <c r="O57" s="262" t="s">
        <v>747</v>
      </c>
    </row>
    <row r="58" spans="1:15" s="12" customFormat="1" ht="4.7" customHeight="1">
      <c r="A58" s="210"/>
      <c r="B58" s="193"/>
      <c r="C58" s="207"/>
      <c r="D58" s="155"/>
      <c r="E58" s="212"/>
      <c r="F58" s="203"/>
      <c r="G58" s="155"/>
      <c r="H58" s="155"/>
      <c r="I58" s="155"/>
      <c r="J58" s="155"/>
      <c r="K58" s="155"/>
      <c r="L58" s="155"/>
      <c r="M58" s="155"/>
      <c r="N58" s="203"/>
      <c r="O58" s="161"/>
    </row>
    <row r="59" spans="1:15" s="12" customFormat="1" ht="14.45" customHeight="1">
      <c r="A59" s="210" t="s">
        <v>204</v>
      </c>
      <c r="B59" s="155"/>
      <c r="C59" s="155"/>
      <c r="D59" s="339" t="s">
        <v>211</v>
      </c>
      <c r="E59" s="339"/>
      <c r="F59" s="339"/>
      <c r="G59" s="149" t="s">
        <v>680</v>
      </c>
      <c r="H59" s="95">
        <f>IF(D59="","---",VLOOKUP(D59,Auswahlliste!L2:M5,2,FALSE))</f>
        <v>1.5</v>
      </c>
      <c r="I59" s="155"/>
      <c r="J59" s="155"/>
      <c r="K59" s="201" t="s">
        <v>205</v>
      </c>
      <c r="L59" s="339" t="s">
        <v>215</v>
      </c>
      <c r="M59" s="339"/>
      <c r="N59" s="149" t="s">
        <v>679</v>
      </c>
      <c r="O59" s="215">
        <f>IF(L59="","---",VLOOKUP(L59,Auswahlliste!L8:M12,2,FALSE))</f>
        <v>1</v>
      </c>
    </row>
    <row r="60" spans="1:15" s="12" customFormat="1" ht="10.15" customHeight="1">
      <c r="A60" s="213"/>
      <c r="B60" s="155"/>
      <c r="C60" s="155"/>
      <c r="D60" s="155"/>
      <c r="E60" s="155"/>
      <c r="F60" s="155"/>
      <c r="G60" s="155"/>
      <c r="H60" s="193"/>
      <c r="I60" s="155"/>
      <c r="J60" s="155"/>
      <c r="K60" s="155"/>
      <c r="L60" s="155"/>
      <c r="M60" s="155"/>
      <c r="N60" s="155"/>
      <c r="O60" s="169"/>
    </row>
    <row r="61" spans="1:15" s="12" customFormat="1" ht="10.15" customHeight="1">
      <c r="A61" s="172"/>
      <c r="B61" s="173"/>
      <c r="C61" s="174"/>
      <c r="D61" s="174"/>
      <c r="E61" s="174"/>
      <c r="F61" s="173"/>
      <c r="G61" s="173"/>
      <c r="H61" s="173"/>
      <c r="I61" s="173"/>
      <c r="J61" s="173"/>
      <c r="K61" s="173"/>
      <c r="L61" s="25"/>
      <c r="M61" s="25"/>
      <c r="N61" s="173"/>
      <c r="O61" s="175"/>
    </row>
    <row r="62" spans="1:15" s="12" customFormat="1" ht="14.45" customHeight="1">
      <c r="A62" s="192" t="s">
        <v>207</v>
      </c>
      <c r="B62" s="164"/>
      <c r="C62" s="164"/>
      <c r="D62" s="164"/>
      <c r="E62" s="164"/>
      <c r="F62" s="164"/>
      <c r="G62" s="219"/>
      <c r="H62" s="219" t="s">
        <v>272</v>
      </c>
      <c r="I62" s="224"/>
      <c r="J62" s="224"/>
      <c r="K62" s="224"/>
      <c r="L62" s="319" t="str">
        <f>IF(K49=0,"---",Berechnung_Einleitung!B9)</f>
        <v>---</v>
      </c>
      <c r="M62" s="319"/>
      <c r="N62" s="193"/>
      <c r="O62" s="214"/>
    </row>
    <row r="63" spans="1:15" s="12" customFormat="1" ht="8.1" customHeight="1">
      <c r="A63" s="223"/>
      <c r="B63" s="189"/>
      <c r="C63" s="205"/>
      <c r="D63" s="205"/>
      <c r="E63" s="164"/>
      <c r="F63" s="164"/>
      <c r="G63" s="164"/>
      <c r="H63" s="164"/>
      <c r="I63" s="164"/>
      <c r="J63" s="155"/>
      <c r="K63" s="164"/>
      <c r="L63" s="164"/>
      <c r="M63" s="164"/>
      <c r="N63" s="164"/>
      <c r="O63" s="191"/>
    </row>
    <row r="64" spans="1:15" s="12" customFormat="1" ht="14.45" customHeight="1">
      <c r="A64" s="122" t="s">
        <v>287</v>
      </c>
      <c r="B64" s="123"/>
      <c r="C64" s="205"/>
      <c r="D64" s="205"/>
      <c r="E64" s="155"/>
      <c r="F64" s="220" t="s">
        <v>740</v>
      </c>
      <c r="G64" s="221"/>
      <c r="H64" s="222"/>
      <c r="I64" s="146" t="str">
        <f>IF(K49=0,IF(N49=0,"---","---"),N49/K49)</f>
        <v>---</v>
      </c>
      <c r="J64" s="221"/>
      <c r="K64" s="351" t="s">
        <v>684</v>
      </c>
      <c r="L64" s="351"/>
      <c r="M64" s="351"/>
      <c r="N64" s="145" t="str">
        <f>IF(N49=0,"---",N49/10000*I65)</f>
        <v>---</v>
      </c>
      <c r="O64" s="225" t="s">
        <v>117</v>
      </c>
    </row>
    <row r="65" spans="1:15" s="12" customFormat="1" ht="14.45" customHeight="1">
      <c r="A65" s="206"/>
      <c r="B65" s="193"/>
      <c r="C65" s="203"/>
      <c r="D65" s="207"/>
      <c r="E65" s="155"/>
      <c r="F65" s="216"/>
      <c r="G65" s="217"/>
      <c r="H65" s="217" t="s">
        <v>277</v>
      </c>
      <c r="I65" s="147" t="str">
        <f>IF(K49=0,"---",ROUND(Berechnung_Einleitung!J17,0))</f>
        <v>---</v>
      </c>
      <c r="J65" s="216" t="s">
        <v>118</v>
      </c>
      <c r="K65" s="351" t="s">
        <v>683</v>
      </c>
      <c r="L65" s="351"/>
      <c r="M65" s="351"/>
      <c r="N65" s="145">
        <f>IF(E57="---","---",IF(H59="---","---",IF(O59="---","---",(E57*H59*O59)/0.1)))</f>
        <v>0</v>
      </c>
      <c r="O65" s="225" t="s">
        <v>117</v>
      </c>
    </row>
    <row r="66" spans="1:15" s="12" customFormat="1" ht="8.1" customHeight="1">
      <c r="A66" s="206"/>
      <c r="B66" s="193"/>
      <c r="C66" s="207"/>
      <c r="D66" s="207"/>
      <c r="E66" s="155"/>
      <c r="F66" s="155"/>
      <c r="G66" s="155"/>
      <c r="H66" s="155"/>
      <c r="I66" s="7"/>
      <c r="J66" s="155"/>
      <c r="K66" s="155"/>
      <c r="L66" s="155"/>
      <c r="M66" s="155"/>
      <c r="N66" s="155"/>
      <c r="O66" s="191"/>
    </row>
    <row r="67" spans="1:15" s="12" customFormat="1" ht="15.75" customHeight="1" thickBot="1">
      <c r="A67" s="210" t="s">
        <v>220</v>
      </c>
      <c r="B67" s="193"/>
      <c r="C67" s="207"/>
      <c r="D67" s="155"/>
      <c r="E67" s="212"/>
      <c r="F67" s="218" t="s">
        <v>222</v>
      </c>
      <c r="G67" s="155" t="s">
        <v>682</v>
      </c>
      <c r="H67" s="155"/>
      <c r="I67" s="119" t="str">
        <f>IF(OR(ISNUMBER(C57),ISNUMBER(E57)),IF(N64="---","---",IF(ISNUMBER(E57),E57/N64,C57/N64)),"---")</f>
        <v>---</v>
      </c>
      <c r="J67" s="155"/>
      <c r="K67" s="155"/>
      <c r="L67" s="367" t="s">
        <v>285</v>
      </c>
      <c r="M67" s="367"/>
      <c r="N67" s="155"/>
      <c r="O67" s="191"/>
    </row>
    <row r="68" spans="1:15" s="12" customFormat="1" ht="14.45" customHeight="1" thickBot="1">
      <c r="A68" s="206" t="s">
        <v>221</v>
      </c>
      <c r="B68" s="193"/>
      <c r="C68" s="207"/>
      <c r="D68" s="207"/>
      <c r="E68" s="155"/>
      <c r="F68" s="218" t="s">
        <v>283</v>
      </c>
      <c r="G68" s="155" t="s">
        <v>284</v>
      </c>
      <c r="H68" s="193"/>
      <c r="I68" s="119" t="str">
        <f>IF(I67="---","---",IF(H59="---","---",IF(O59="---","---",IF(I67&gt;=1,I67,I67*H59*O59))))</f>
        <v>---</v>
      </c>
      <c r="J68" s="7"/>
      <c r="K68" s="353" t="str">
        <f>IF(I68="---","---",IF(I68&lt;0.1,"VG&lt;0.1 =&gt; Eine Retention ist erforderlich","VG&gt;0.1 =&gt; Eine Retention ist nicht erforderlich"))</f>
        <v>---</v>
      </c>
      <c r="L68" s="354"/>
      <c r="M68" s="354"/>
      <c r="N68" s="354"/>
      <c r="O68" s="355"/>
    </row>
    <row r="69" spans="1:15" s="12" customFormat="1" ht="10.5" customHeight="1" thickBot="1">
      <c r="A69" s="268" t="s">
        <v>748</v>
      </c>
      <c r="B69" s="193"/>
      <c r="C69" s="207"/>
      <c r="D69" s="207"/>
      <c r="E69" s="155"/>
      <c r="F69" s="267"/>
      <c r="G69" s="155"/>
      <c r="H69" s="193"/>
      <c r="I69" s="7"/>
      <c r="J69" s="155"/>
      <c r="K69" s="155"/>
      <c r="L69" s="227"/>
      <c r="M69" s="227"/>
      <c r="N69" s="155"/>
      <c r="O69" s="14"/>
    </row>
    <row r="70" spans="1:15" s="12" customFormat="1" ht="14.45" customHeight="1" thickBot="1">
      <c r="A70" s="15" t="s">
        <v>685</v>
      </c>
      <c r="B70" s="7"/>
      <c r="C70" s="120">
        <f>IF(OR(ISNUMBER(C8),ISNUMBER(F8)),IF(ISNUMBER(F8),F8,C8),"---")</f>
        <v>0.1</v>
      </c>
      <c r="D70" s="7"/>
      <c r="E70" s="7" t="s">
        <v>738</v>
      </c>
      <c r="F70" s="7"/>
      <c r="G70" s="7"/>
      <c r="H70" s="7"/>
      <c r="I70" s="95" t="str">
        <f>IF(I65="---","---",ROUND((N65/I65*10000)/K49,2))</f>
        <v>---</v>
      </c>
      <c r="J70" s="356" t="s">
        <v>286</v>
      </c>
      <c r="K70" s="356"/>
      <c r="L70" s="356"/>
      <c r="M70" s="356"/>
      <c r="N70" s="357"/>
      <c r="O70" s="121" t="str">
        <f>IF(C70="","---",IF(I70="---","---",IF(MIN(C70,I70)&lt;=0.1,0.1,MIN(C70,I70))))</f>
        <v>---</v>
      </c>
    </row>
    <row r="71" spans="1:15" s="12" customFormat="1" ht="8.1" customHeight="1">
      <c r="A71" s="206"/>
      <c r="B71" s="193"/>
      <c r="C71" s="207"/>
      <c r="D71" s="207"/>
      <c r="E71" s="155"/>
      <c r="F71" s="155"/>
      <c r="G71" s="155"/>
      <c r="H71" s="155"/>
      <c r="I71" s="155"/>
      <c r="J71" s="155"/>
      <c r="K71" s="155"/>
      <c r="L71" s="155"/>
      <c r="M71" s="155"/>
      <c r="N71" s="155"/>
      <c r="O71" s="14"/>
    </row>
    <row r="72" spans="1:15" s="12" customFormat="1" ht="14.45" customHeight="1">
      <c r="A72" s="19" t="s">
        <v>232</v>
      </c>
      <c r="B72" s="16"/>
      <c r="C72" s="363"/>
      <c r="D72" s="363"/>
      <c r="E72" s="363"/>
      <c r="F72" s="363"/>
      <c r="G72" s="363"/>
      <c r="H72" s="363"/>
      <c r="I72" s="363"/>
      <c r="J72" s="363"/>
      <c r="K72" s="363"/>
      <c r="L72" s="363"/>
      <c r="M72" s="363"/>
      <c r="N72" s="363"/>
      <c r="O72" s="364"/>
    </row>
    <row r="73" spans="1:15" s="12" customFormat="1" ht="4.7" customHeight="1">
      <c r="A73" s="213"/>
      <c r="B73" s="228"/>
      <c r="C73" s="229"/>
      <c r="D73" s="229"/>
      <c r="E73" s="230"/>
      <c r="F73" s="230"/>
      <c r="G73" s="230"/>
      <c r="H73" s="228"/>
      <c r="I73" s="230"/>
      <c r="J73" s="230"/>
      <c r="K73" s="230"/>
      <c r="L73" s="230"/>
      <c r="M73" s="230"/>
      <c r="N73" s="230"/>
      <c r="O73" s="169"/>
    </row>
    <row r="74" spans="1:15" s="12" customFormat="1" ht="10.15" customHeight="1">
      <c r="A74" s="172"/>
      <c r="B74" s="173"/>
      <c r="C74" s="174"/>
      <c r="D74" s="174"/>
      <c r="E74" s="174"/>
      <c r="F74" s="173"/>
      <c r="G74" s="173"/>
      <c r="H74" s="173"/>
      <c r="I74" s="173"/>
      <c r="J74" s="173"/>
      <c r="K74" s="173"/>
      <c r="L74" s="173"/>
      <c r="M74" s="173"/>
      <c r="N74" s="173"/>
      <c r="O74" s="175"/>
    </row>
    <row r="75" spans="1:15" s="12" customFormat="1" ht="14.25" customHeight="1">
      <c r="A75" s="192" t="s">
        <v>741</v>
      </c>
      <c r="B75" s="164"/>
      <c r="C75" s="164"/>
      <c r="D75" s="164"/>
      <c r="E75" s="164"/>
      <c r="F75" s="164"/>
      <c r="G75" s="164"/>
      <c r="H75" s="164"/>
      <c r="I75" s="164"/>
      <c r="J75" s="164"/>
      <c r="K75" s="164"/>
      <c r="L75" s="164"/>
      <c r="M75" s="164"/>
      <c r="N75" s="193"/>
      <c r="O75" s="214"/>
    </row>
    <row r="76" spans="1:15" s="12" customFormat="1" ht="8.1" customHeight="1">
      <c r="A76" s="223"/>
      <c r="B76" s="189"/>
      <c r="C76" s="205"/>
      <c r="D76" s="205"/>
      <c r="E76" s="164"/>
      <c r="F76" s="164"/>
      <c r="G76" s="164"/>
      <c r="H76" s="164"/>
      <c r="I76" s="164"/>
      <c r="J76" s="155"/>
      <c r="K76" s="164"/>
      <c r="L76" s="164"/>
      <c r="M76" s="164"/>
      <c r="N76" s="164"/>
      <c r="O76" s="191"/>
    </row>
    <row r="77" spans="1:15" s="12" customFormat="1" ht="14.45" customHeight="1">
      <c r="A77" s="210" t="s">
        <v>668</v>
      </c>
      <c r="B77" s="193"/>
      <c r="C77" s="205"/>
      <c r="D77" s="205"/>
      <c r="E77" s="365" t="s">
        <v>243</v>
      </c>
      <c r="F77" s="365"/>
      <c r="G77" s="365"/>
      <c r="H77" s="224"/>
      <c r="I77" s="155"/>
      <c r="J77" s="23"/>
      <c r="K77" s="20" t="s">
        <v>209</v>
      </c>
      <c r="L77" s="366" t="s">
        <v>235</v>
      </c>
      <c r="M77" s="366"/>
      <c r="N77" s="224"/>
      <c r="O77" s="191"/>
    </row>
    <row r="78" spans="1:15" s="12" customFormat="1" ht="8.1" customHeight="1">
      <c r="A78" s="206"/>
      <c r="B78" s="193"/>
      <c r="C78" s="207"/>
      <c r="D78" s="207"/>
      <c r="E78" s="155"/>
      <c r="F78" s="155"/>
      <c r="G78" s="224"/>
      <c r="H78" s="224"/>
      <c r="I78" s="155"/>
      <c r="J78" s="164"/>
      <c r="K78" s="164"/>
      <c r="L78" s="224"/>
      <c r="M78" s="155"/>
      <c r="N78" s="224"/>
      <c r="O78" s="191"/>
    </row>
    <row r="79" spans="1:15" s="12" customFormat="1" ht="14.45" customHeight="1">
      <c r="A79" s="206" t="s">
        <v>237</v>
      </c>
      <c r="B79" s="193"/>
      <c r="C79" s="155"/>
      <c r="D79" s="155"/>
      <c r="E79" s="155"/>
      <c r="F79" s="155"/>
      <c r="G79" s="155"/>
      <c r="H79" s="155"/>
      <c r="I79" s="124" t="str">
        <f>IF(E77="","---",IF(L77="","---",IF(E77="Dachflächen",IF(L77="gering","oB",IF(L77="mittel","oB","t")),IF(L77="gering","oB",IF(L77="mittel","B","B t")))))</f>
        <v>B</v>
      </c>
      <c r="J79" s="155"/>
      <c r="K79" s="155"/>
      <c r="L79" s="155"/>
      <c r="M79" s="155"/>
      <c r="N79" s="164"/>
      <c r="O79" s="191"/>
    </row>
    <row r="80" spans="1:15" s="12" customFormat="1" ht="8.1" customHeight="1">
      <c r="A80" s="206"/>
      <c r="B80" s="193"/>
      <c r="C80" s="207"/>
      <c r="D80" s="207"/>
      <c r="E80" s="155"/>
      <c r="F80" s="155"/>
      <c r="G80" s="224"/>
      <c r="H80" s="224"/>
      <c r="I80" s="155"/>
      <c r="J80" s="164"/>
      <c r="K80" s="164"/>
      <c r="L80" s="224"/>
      <c r="M80" s="155"/>
      <c r="N80" s="224"/>
      <c r="O80" s="191"/>
    </row>
    <row r="81" spans="1:15" s="12" customFormat="1" ht="14.45" customHeight="1">
      <c r="A81" s="206" t="s">
        <v>241</v>
      </c>
      <c r="B81" s="155"/>
      <c r="C81" s="361" t="str">
        <f>IF(I79="---","---",VLOOKUP(I79,Auswahlliste!L33:M36,2,FALSE))</f>
        <v>Einleitung in ein oberirdisches Gewässer oder in eine Meteorwasserkanalisation nur zulässig nach Behandlung des Abwassers in Abhängigkeit der Grösse des Vorfluters</v>
      </c>
      <c r="D81" s="361"/>
      <c r="E81" s="361"/>
      <c r="F81" s="361"/>
      <c r="G81" s="361"/>
      <c r="H81" s="361"/>
      <c r="I81" s="361"/>
      <c r="J81" s="361"/>
      <c r="K81" s="361"/>
      <c r="L81" s="361"/>
      <c r="M81" s="361"/>
      <c r="N81" s="361"/>
      <c r="O81" s="362"/>
    </row>
    <row r="82" spans="1:15" s="12" customFormat="1" ht="14.25">
      <c r="A82" s="206"/>
      <c r="B82" s="155"/>
      <c r="C82" s="361"/>
      <c r="D82" s="361"/>
      <c r="E82" s="361"/>
      <c r="F82" s="361"/>
      <c r="G82" s="361"/>
      <c r="H82" s="361"/>
      <c r="I82" s="361"/>
      <c r="J82" s="361"/>
      <c r="K82" s="361"/>
      <c r="L82" s="361"/>
      <c r="M82" s="361"/>
      <c r="N82" s="361"/>
      <c r="O82" s="362"/>
    </row>
    <row r="83" spans="1:15" s="12" customFormat="1" ht="8.1" customHeight="1">
      <c r="A83" s="206"/>
      <c r="B83" s="155"/>
      <c r="C83" s="155"/>
      <c r="D83" s="155"/>
      <c r="E83" s="155"/>
      <c r="F83" s="155"/>
      <c r="G83" s="155"/>
      <c r="H83" s="155"/>
      <c r="I83" s="155"/>
      <c r="J83" s="155"/>
      <c r="K83" s="155"/>
      <c r="L83" s="155"/>
      <c r="M83" s="155"/>
      <c r="N83" s="155"/>
      <c r="O83" s="191"/>
    </row>
    <row r="84" spans="1:15" s="12" customFormat="1" ht="14.45" customHeight="1">
      <c r="A84" s="206" t="s">
        <v>289</v>
      </c>
      <c r="B84" s="155"/>
      <c r="C84" s="155"/>
      <c r="D84" s="155"/>
      <c r="E84" s="155"/>
      <c r="F84" s="155"/>
      <c r="G84" s="155"/>
      <c r="H84" s="155"/>
      <c r="I84" s="155" t="s">
        <v>290</v>
      </c>
      <c r="J84" s="155"/>
      <c r="K84" s="155"/>
      <c r="L84" s="352" t="str">
        <f>IF(I79="B",IF(E57="---","---",IF(E57&lt;=Auswahlliste!M17,Auswahlliste!L17,IF(EinleitungInGewaesser!E57&lt;=Auswahlliste!N18,Auswahlliste!L18,IF(EinleitungInGewaesser!E57&lt;=Auswahlliste!N19,Auswahlliste!L19,Auswahlliste!L20)))),"---")</f>
        <v>sehr kleiner Bach (&lt; 3l/s)</v>
      </c>
      <c r="M84" s="352"/>
      <c r="N84" s="352"/>
      <c r="O84" s="14"/>
    </row>
    <row r="85" spans="1:15" s="12" customFormat="1" ht="8.1" customHeight="1">
      <c r="A85" s="206"/>
      <c r="B85" s="155"/>
      <c r="C85" s="155"/>
      <c r="D85" s="155"/>
      <c r="E85" s="155"/>
      <c r="F85" s="155"/>
      <c r="G85" s="155"/>
      <c r="H85" s="155"/>
      <c r="I85" s="155"/>
      <c r="J85" s="155"/>
      <c r="K85" s="155"/>
      <c r="L85" s="155"/>
      <c r="M85" s="155"/>
      <c r="N85" s="155"/>
      <c r="O85" s="191"/>
    </row>
    <row r="86" spans="1:15" s="12" customFormat="1" ht="17.45" customHeight="1" thickBot="1">
      <c r="A86" s="206" t="s">
        <v>686</v>
      </c>
      <c r="B86" s="155"/>
      <c r="C86" s="155"/>
      <c r="D86" s="155"/>
      <c r="E86" s="155"/>
      <c r="F86" s="95">
        <f>IF(L84="---","---",VLOOKUP(L84,Auswahlliste!L17:O21,4,FALSE))</f>
        <v>100</v>
      </c>
      <c r="G86" s="155" t="s">
        <v>256</v>
      </c>
      <c r="H86" s="155"/>
      <c r="I86" s="155"/>
      <c r="J86" s="155"/>
      <c r="K86" s="155"/>
      <c r="L86" s="155"/>
      <c r="M86" s="155"/>
      <c r="N86" s="155"/>
      <c r="O86" s="191"/>
    </row>
    <row r="87" spans="1:15" s="12" customFormat="1" ht="18.75" customHeight="1" thickBot="1">
      <c r="A87" s="206" t="s">
        <v>687</v>
      </c>
      <c r="B87" s="155"/>
      <c r="C87" s="155"/>
      <c r="D87" s="155"/>
      <c r="E87" s="155"/>
      <c r="F87" s="95" t="str">
        <f>IF(N49=0,"---",IF(I79="B",N49,"---"))</f>
        <v>---</v>
      </c>
      <c r="G87" s="155" t="s">
        <v>256</v>
      </c>
      <c r="H87" s="155"/>
      <c r="I87" s="358" t="str">
        <f>IF(F86="---","---",IF(N49=0,"",IF(N49&gt;F86,"Behandlung notwendig (Ared &gt; Ared,zul)", "Einleitung ohne Behandlung zulässig (Ared &lt; Ared,zul)")))</f>
        <v/>
      </c>
      <c r="J87" s="359"/>
      <c r="K87" s="359"/>
      <c r="L87" s="359"/>
      <c r="M87" s="359"/>
      <c r="N87" s="359"/>
      <c r="O87" s="360"/>
    </row>
    <row r="88" spans="1:15" s="12" customFormat="1" ht="7.5" customHeight="1">
      <c r="A88" s="213"/>
      <c r="B88" s="228"/>
      <c r="C88" s="229"/>
      <c r="D88" s="229"/>
      <c r="E88" s="230"/>
      <c r="F88" s="230"/>
      <c r="G88" s="230"/>
      <c r="H88" s="228"/>
      <c r="I88" s="230"/>
      <c r="J88" s="230"/>
      <c r="K88" s="230"/>
      <c r="L88" s="230"/>
      <c r="M88" s="230"/>
      <c r="N88" s="230"/>
      <c r="O88" s="169"/>
    </row>
    <row r="89" spans="1:15" ht="6" customHeight="1">
      <c r="A89" s="231"/>
      <c r="B89" s="231"/>
      <c r="C89" s="231"/>
      <c r="D89" s="231"/>
      <c r="E89" s="231"/>
      <c r="F89" s="231"/>
      <c r="G89" s="231"/>
      <c r="H89" s="231"/>
      <c r="I89" s="231"/>
      <c r="J89" s="231"/>
      <c r="K89" s="231"/>
      <c r="L89" s="231"/>
      <c r="M89" s="231"/>
      <c r="N89" s="231"/>
      <c r="O89" s="231"/>
    </row>
    <row r="90" spans="1:15" ht="15.75" customHeight="1">
      <c r="A90" s="86"/>
      <c r="B90" s="162" t="s">
        <v>105</v>
      </c>
      <c r="C90" s="162"/>
      <c r="D90" s="162"/>
      <c r="E90" s="162"/>
      <c r="F90" s="115"/>
      <c r="G90" s="9" t="s">
        <v>104</v>
      </c>
      <c r="H90" s="162"/>
      <c r="I90" s="162"/>
      <c r="J90" s="271"/>
      <c r="K90" s="162" t="s">
        <v>785</v>
      </c>
      <c r="L90" s="162"/>
      <c r="M90" s="162"/>
      <c r="N90" s="162"/>
      <c r="O90" s="162"/>
    </row>
    <row r="91" spans="1:15" ht="6.75" customHeight="1">
      <c r="A91" s="162"/>
      <c r="B91" s="162"/>
      <c r="C91" s="162"/>
      <c r="D91" s="162"/>
      <c r="E91" s="162"/>
      <c r="F91" s="162"/>
      <c r="G91" s="162"/>
      <c r="H91" s="162"/>
      <c r="I91" s="162"/>
      <c r="J91" s="162"/>
      <c r="K91" s="162"/>
      <c r="L91" s="162"/>
      <c r="M91" s="162"/>
      <c r="N91" s="162"/>
      <c r="O91" s="162"/>
    </row>
  </sheetData>
  <sheetProtection algorithmName="SHA-512" hashValue="tBlAaLkdbpz5IXu7ga0Dzsb/N/hiMlgmzVC2WXzP0lw2sC1lntNbmFc/S58Ohn/ldvHJ0/VSY+Z1WuBo5jrMcg==" saltValue="jAvJzNV5AIAyk/nag2LkrQ==" spinCount="100000" sheet="1" selectLockedCells="1"/>
  <dataConsolidate/>
  <mergeCells count="141">
    <mergeCell ref="K65:M65"/>
    <mergeCell ref="K64:M64"/>
    <mergeCell ref="L84:N84"/>
    <mergeCell ref="K68:O68"/>
    <mergeCell ref="J70:N70"/>
    <mergeCell ref="I87:O87"/>
    <mergeCell ref="C81:O82"/>
    <mergeCell ref="C72:O72"/>
    <mergeCell ref="K41:L41"/>
    <mergeCell ref="N41:O41"/>
    <mergeCell ref="L59:M59"/>
    <mergeCell ref="E77:G77"/>
    <mergeCell ref="L77:M77"/>
    <mergeCell ref="E55:F55"/>
    <mergeCell ref="L55:M55"/>
    <mergeCell ref="L62:M62"/>
    <mergeCell ref="L67:M67"/>
    <mergeCell ref="K47:L47"/>
    <mergeCell ref="N47:O47"/>
    <mergeCell ref="I49:J49"/>
    <mergeCell ref="K49:L49"/>
    <mergeCell ref="N49:O49"/>
    <mergeCell ref="E57:F57"/>
    <mergeCell ref="D59:F59"/>
    <mergeCell ref="N44:O44"/>
    <mergeCell ref="K46:L46"/>
    <mergeCell ref="N46:O46"/>
    <mergeCell ref="K39:L39"/>
    <mergeCell ref="N39:O39"/>
    <mergeCell ref="K40:L40"/>
    <mergeCell ref="A39:H39"/>
    <mergeCell ref="I39:J39"/>
    <mergeCell ref="A40:H40"/>
    <mergeCell ref="I40:J40"/>
    <mergeCell ref="A41:H41"/>
    <mergeCell ref="I41:J41"/>
    <mergeCell ref="I44:J44"/>
    <mergeCell ref="N35:O35"/>
    <mergeCell ref="K36:L36"/>
    <mergeCell ref="N36:O36"/>
    <mergeCell ref="K33:L33"/>
    <mergeCell ref="N33:O33"/>
    <mergeCell ref="K34:L34"/>
    <mergeCell ref="N34:O34"/>
    <mergeCell ref="A36:H36"/>
    <mergeCell ref="I36:J36"/>
    <mergeCell ref="N32:O32"/>
    <mergeCell ref="N30:O30"/>
    <mergeCell ref="A20:J20"/>
    <mergeCell ref="K20:L20"/>
    <mergeCell ref="N20:O20"/>
    <mergeCell ref="K27:L27"/>
    <mergeCell ref="N27:O27"/>
    <mergeCell ref="K28:L28"/>
    <mergeCell ref="N28:O28"/>
    <mergeCell ref="A23:J23"/>
    <mergeCell ref="K23:L23"/>
    <mergeCell ref="N23:O23"/>
    <mergeCell ref="K26:L26"/>
    <mergeCell ref="N26:O26"/>
    <mergeCell ref="I25:J25"/>
    <mergeCell ref="A26:H26"/>
    <mergeCell ref="I26:J26"/>
    <mergeCell ref="A27:H27"/>
    <mergeCell ref="I27:J27"/>
    <mergeCell ref="A28:H28"/>
    <mergeCell ref="I28:J28"/>
    <mergeCell ref="A29:H29"/>
    <mergeCell ref="I29:J29"/>
    <mergeCell ref="I30:J30"/>
    <mergeCell ref="A3:B3"/>
    <mergeCell ref="A4:B4"/>
    <mergeCell ref="A5:B5"/>
    <mergeCell ref="A16:J16"/>
    <mergeCell ref="K16:L16"/>
    <mergeCell ref="N16:O16"/>
    <mergeCell ref="K12:L12"/>
    <mergeCell ref="N12:O12"/>
    <mergeCell ref="K13:L14"/>
    <mergeCell ref="M13:M14"/>
    <mergeCell ref="N13:O14"/>
    <mergeCell ref="A15:J15"/>
    <mergeCell ref="K15:L15"/>
    <mergeCell ref="N15:O15"/>
    <mergeCell ref="L4:O4"/>
    <mergeCell ref="L5:O5"/>
    <mergeCell ref="L8:O8"/>
    <mergeCell ref="C5:F5"/>
    <mergeCell ref="C6:F6"/>
    <mergeCell ref="A7:B7"/>
    <mergeCell ref="C7:F7"/>
    <mergeCell ref="A6:B6"/>
    <mergeCell ref="C4:F4"/>
    <mergeCell ref="K29:L29"/>
    <mergeCell ref="N29:O29"/>
    <mergeCell ref="K30:L30"/>
    <mergeCell ref="L6:O6"/>
    <mergeCell ref="L7:O7"/>
    <mergeCell ref="K31:L31"/>
    <mergeCell ref="N31:O31"/>
    <mergeCell ref="A30:H30"/>
    <mergeCell ref="K18:L18"/>
    <mergeCell ref="A17:J17"/>
    <mergeCell ref="K17:L17"/>
    <mergeCell ref="N17:O17"/>
    <mergeCell ref="A21:J21"/>
    <mergeCell ref="K21:L21"/>
    <mergeCell ref="N21:O21"/>
    <mergeCell ref="A22:J22"/>
    <mergeCell ref="K22:L22"/>
    <mergeCell ref="N22:O22"/>
    <mergeCell ref="A18:J18"/>
    <mergeCell ref="A19:J19"/>
    <mergeCell ref="K19:L19"/>
    <mergeCell ref="N19:O19"/>
    <mergeCell ref="N18:O18"/>
    <mergeCell ref="D8:E8"/>
    <mergeCell ref="A57:B57"/>
    <mergeCell ref="K32:L32"/>
    <mergeCell ref="K35:L35"/>
    <mergeCell ref="I47:J47"/>
    <mergeCell ref="A31:H31"/>
    <mergeCell ref="I31:J31"/>
    <mergeCell ref="A32:H32"/>
    <mergeCell ref="I32:J32"/>
    <mergeCell ref="A33:H33"/>
    <mergeCell ref="I33:J33"/>
    <mergeCell ref="A34:H34"/>
    <mergeCell ref="I34:J34"/>
    <mergeCell ref="A35:H35"/>
    <mergeCell ref="I35:J35"/>
    <mergeCell ref="K44:L44"/>
    <mergeCell ref="K45:L45"/>
    <mergeCell ref="I45:J45"/>
    <mergeCell ref="I46:J46"/>
    <mergeCell ref="A44:H44"/>
    <mergeCell ref="A45:H45"/>
    <mergeCell ref="A46:H46"/>
    <mergeCell ref="A47:H47"/>
    <mergeCell ref="L57:M57"/>
    <mergeCell ref="D53:F53"/>
  </mergeCells>
  <conditionalFormatting sqref="K49:L49">
    <cfRule type="cellIs" dxfId="0" priority="1" operator="greaterThan">
      <formula>2000</formula>
    </cfRule>
  </conditionalFormatting>
  <hyperlinks>
    <hyperlink ref="H55" r:id="rId1" xr:uid="{BD0E9927-E7BA-4EE0-80DB-3C7BA8427B98}"/>
    <hyperlink ref="O55" r:id="rId2" xr:uid="{1E5C7678-68E4-471F-827A-403D358A31F1}"/>
    <hyperlink ref="O57" r:id="rId3" display="Karte geoportal" xr:uid="{9328BBB6-EEAF-4C78-81C6-195C02C34097}"/>
  </hyperlinks>
  <pageMargins left="0.78740157480314965" right="0.39370078740157483" top="0.82677165354330717" bottom="0.27559055118110237" header="0.19685039370078741" footer="0.19685039370078741"/>
  <pageSetup paperSize="9" scale="70" orientation="portrait" r:id="rId4"/>
  <headerFooter alignWithMargins="0">
    <oddHeader>&amp;L&amp;"Arial,Standard"&amp;10Kanton St.Gallen
Bau- und Umweltdepartement
&amp;"Arial,Fett"Amt für Wasser und Energie&amp;C&amp;"Arial,Fett"&amp;16Einleitung von Niederschlagsabwasser 
in Fliessgewässer&amp;R&amp;G</oddHeader>
  </headerFooter>
  <drawing r:id="rId5"/>
  <legacyDrawing r:id="rId6"/>
  <legacyDrawingHF r:id="rId7"/>
  <mc:AlternateContent xmlns:mc="http://schemas.openxmlformats.org/markup-compatibility/2006">
    <mc:Choice Requires="x14">
      <controls>
        <mc:AlternateContent xmlns:mc="http://schemas.openxmlformats.org/markup-compatibility/2006">
          <mc:Choice Requires="x14">
            <control shapeId="17409" r:id="rId8" name="Drop Down 1">
              <controlPr locked="0" defaultSize="0" autoLine="0" autoPict="0">
                <anchor moveWithCells="1">
                  <from>
                    <xdr:col>2</xdr:col>
                    <xdr:colOff>0</xdr:colOff>
                    <xdr:row>3</xdr:row>
                    <xdr:rowOff>0</xdr:rowOff>
                  </from>
                  <to>
                    <xdr:col>6</xdr:col>
                    <xdr:colOff>209550</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55519E45-E4C9-466E-BEB8-DD3B32160E35}">
          <x14:formula1>
            <xm:f>Auswahlliste!$L$2:$L$5</xm:f>
          </x14:formula1>
          <xm:sqref>D59:F59</xm:sqref>
        </x14:dataValidation>
        <x14:dataValidation type="list" allowBlank="1" showInputMessage="1" showErrorMessage="1" xr:uid="{BD04CCD8-0337-43FA-8701-F1CAA47634D1}">
          <x14:formula1>
            <xm:f>Auswahlliste!$L$8:$L$12</xm:f>
          </x14:formula1>
          <xm:sqref>L59:M59</xm:sqref>
        </x14:dataValidation>
        <x14:dataValidation type="list" allowBlank="1" showInputMessage="1" showErrorMessage="1" xr:uid="{1C73A34D-E0DA-44D2-898A-B48626E8B17A}">
          <x14:formula1>
            <xm:f>Auswahlliste!$L$24:$L$25</xm:f>
          </x14:formula1>
          <xm:sqref>E77:G77</xm:sqref>
        </x14:dataValidation>
        <x14:dataValidation type="list" allowBlank="1" showInputMessage="1" showErrorMessage="1" xr:uid="{5F25E49F-DB9B-4C2E-A49D-AF4A27F07CAE}">
          <x14:formula1>
            <xm:f>Auswahlliste!$L$28:$L$30</xm:f>
          </x14:formula1>
          <xm:sqref>L77:M77</xm:sqref>
        </x14:dataValidation>
        <x14:dataValidation type="list" allowBlank="1" showInputMessage="1" showErrorMessage="1" xr:uid="{952BC085-1B84-40B5-B3D6-2A2C995703F5}">
          <x14:formula1>
            <xm:f>Auswahlliste!$I$14:$I$16</xm:f>
          </x14:formula1>
          <xm:sqref>I26:J36 I44:J47 I39:J41</xm:sqref>
        </x14:dataValidation>
        <x14:dataValidation type="list" allowBlank="1" showInputMessage="1" showErrorMessage="1" xr:uid="{2E6F21A3-0427-410A-ABDB-DDE66463530C}">
          <x14:formula1>
            <xm:f>Berechnung_Einleitung!$Q:$Q</xm:f>
          </x14:formula1>
          <xm:sqref>C7:F7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A3DE-DD89-43EF-A9F1-ED4809AA01A1}">
  <sheetPr codeName="Tabelle3"/>
  <dimension ref="A1:O77"/>
  <sheetViews>
    <sheetView view="pageLayout" zoomScaleNormal="100" workbookViewId="0">
      <selection activeCell="C7" sqref="C7:F7"/>
    </sheetView>
  </sheetViews>
  <sheetFormatPr baseColWidth="10" defaultColWidth="8.42578125" defaultRowHeight="12.75"/>
  <cols>
    <col min="1" max="1" width="8.7109375" style="8" customWidth="1"/>
    <col min="2" max="2" width="10.42578125" style="8" customWidth="1"/>
    <col min="3" max="12" width="7.7109375" style="8" customWidth="1"/>
    <col min="13" max="13" width="12" style="8" customWidth="1"/>
    <col min="14" max="15" width="7.28515625" style="8" customWidth="1"/>
    <col min="16" max="16384" width="8.42578125" style="8"/>
  </cols>
  <sheetData>
    <row r="1" spans="1:15" ht="20.25">
      <c r="A1" s="153"/>
      <c r="B1" s="154"/>
      <c r="C1" s="154"/>
      <c r="D1" s="154"/>
      <c r="E1" s="154"/>
      <c r="F1" s="155"/>
      <c r="G1" s="155"/>
      <c r="H1" s="155"/>
      <c r="I1" s="155"/>
      <c r="J1" s="155"/>
      <c r="K1" s="155"/>
      <c r="L1" s="155"/>
      <c r="M1" s="155"/>
      <c r="N1" s="155"/>
      <c r="O1" s="156" t="s">
        <v>812</v>
      </c>
    </row>
    <row r="2" spans="1:15" ht="5.0999999999999996" customHeight="1">
      <c r="A2" s="157"/>
      <c r="B2" s="158"/>
      <c r="C2" s="158"/>
      <c r="D2" s="158"/>
      <c r="E2" s="158"/>
      <c r="F2" s="159"/>
      <c r="G2" s="159"/>
      <c r="H2" s="159"/>
      <c r="I2" s="159"/>
      <c r="J2" s="159"/>
      <c r="K2" s="159"/>
      <c r="L2" s="159"/>
      <c r="M2" s="159"/>
      <c r="N2" s="159"/>
      <c r="O2" s="160"/>
    </row>
    <row r="3" spans="1:15" ht="14.25" customHeight="1">
      <c r="A3" s="332" t="s">
        <v>144</v>
      </c>
      <c r="B3" s="333"/>
      <c r="C3" s="154"/>
      <c r="D3" s="154"/>
      <c r="E3" s="154"/>
      <c r="F3" s="155"/>
      <c r="G3" s="155"/>
      <c r="H3" s="155"/>
      <c r="I3" s="155"/>
      <c r="J3" s="155"/>
      <c r="K3" s="155"/>
      <c r="L3" s="155"/>
      <c r="M3" s="155"/>
      <c r="N3" s="155"/>
      <c r="O3" s="161"/>
    </row>
    <row r="4" spans="1:15" ht="14.25" customHeight="1">
      <c r="A4" s="334" t="s">
        <v>143</v>
      </c>
      <c r="B4" s="335"/>
      <c r="C4" s="10" t="e">
        <f ca="1">OFFSET(Berechnung_Retention!#REF!,Berechnung_Retention!B8,0)</f>
        <v>#REF!</v>
      </c>
      <c r="E4" s="29"/>
      <c r="F4" s="7"/>
      <c r="G4" s="162"/>
      <c r="H4" s="162"/>
      <c r="I4" s="162"/>
      <c r="J4" s="162" t="s">
        <v>142</v>
      </c>
      <c r="K4" s="162"/>
      <c r="L4" s="315"/>
      <c r="M4" s="315"/>
      <c r="N4" s="315"/>
      <c r="O4" s="320"/>
    </row>
    <row r="5" spans="1:15" s="28" customFormat="1" ht="14.25" customHeight="1">
      <c r="A5" s="334" t="s">
        <v>647</v>
      </c>
      <c r="B5" s="335"/>
      <c r="C5" s="315"/>
      <c r="D5" s="315"/>
      <c r="E5" s="315"/>
      <c r="F5" s="315"/>
      <c r="G5" s="370" t="str">
        <f>"Gemeinde"&amp;SUBSTITUTE(SUBSTITUTE(_xlfn.XLOOKUP(Berechnung_Retention!B8,Auswahlliste!D2:D176,Auswahlliste!D2:D176,)," ",""),"-","")</f>
        <v>Gemeinde23</v>
      </c>
      <c r="H5" s="370"/>
      <c r="I5" s="162"/>
      <c r="J5" s="162" t="s">
        <v>141</v>
      </c>
      <c r="K5" s="162"/>
      <c r="L5" s="315"/>
      <c r="M5" s="315"/>
      <c r="N5" s="315"/>
      <c r="O5" s="320"/>
    </row>
    <row r="6" spans="1:15" s="12" customFormat="1" ht="14.25" customHeight="1">
      <c r="A6" s="334" t="s">
        <v>145</v>
      </c>
      <c r="B6" s="335"/>
      <c r="C6" s="315"/>
      <c r="D6" s="315"/>
      <c r="E6" s="315"/>
      <c r="F6" s="315"/>
      <c r="G6" s="163" t="s">
        <v>335</v>
      </c>
      <c r="H6" s="232"/>
      <c r="I6" s="162"/>
      <c r="J6" s="162" t="s">
        <v>139</v>
      </c>
      <c r="K6" s="162"/>
      <c r="L6" s="315"/>
      <c r="M6" s="315"/>
      <c r="N6" s="315"/>
      <c r="O6" s="320"/>
    </row>
    <row r="7" spans="1:15" s="12" customFormat="1" ht="14.25" customHeight="1">
      <c r="A7" s="334" t="s">
        <v>140</v>
      </c>
      <c r="B7" s="335"/>
      <c r="C7" s="316" t="s">
        <v>536</v>
      </c>
      <c r="D7" s="317"/>
      <c r="E7" s="317"/>
      <c r="F7" s="318"/>
      <c r="G7" s="163" t="s">
        <v>436</v>
      </c>
      <c r="H7" s="232"/>
      <c r="I7" s="162"/>
      <c r="J7" s="162" t="s">
        <v>137</v>
      </c>
      <c r="K7" s="162"/>
      <c r="L7" s="315"/>
      <c r="M7" s="315"/>
      <c r="N7" s="315"/>
      <c r="O7" s="320"/>
    </row>
    <row r="8" spans="1:15" s="17" customFormat="1" ht="14.25" customHeight="1">
      <c r="A8" s="170" t="s">
        <v>685</v>
      </c>
      <c r="B8" s="162"/>
      <c r="C8" s="148" cm="1">
        <f t="array" ref="C8">_xlfn.XLOOKUP(G5&amp;C7,Abflussbeiwerte!B2:B2000&amp;Abflussbeiwerte!C2:C2000,Abflussbeiwerte!E2:E2000,,FALSE)</f>
        <v>0.1</v>
      </c>
      <c r="D8" s="11" t="s">
        <v>676</v>
      </c>
      <c r="E8" s="11"/>
      <c r="F8" s="272"/>
      <c r="G8" s="163" t="s">
        <v>336</v>
      </c>
      <c r="H8" s="232"/>
      <c r="I8" s="162"/>
      <c r="J8" s="162" t="s">
        <v>138</v>
      </c>
      <c r="K8" s="162"/>
      <c r="L8" s="321">
        <f ca="1">TODAY()</f>
        <v>46234</v>
      </c>
      <c r="M8" s="322"/>
      <c r="N8" s="322"/>
      <c r="O8" s="323"/>
    </row>
    <row r="9" spans="1:15" s="12" customFormat="1" ht="5.0999999999999996" customHeight="1">
      <c r="A9" s="166"/>
      <c r="B9" s="167"/>
      <c r="C9" s="168"/>
      <c r="D9" s="168"/>
      <c r="E9" s="168"/>
      <c r="F9" s="167"/>
      <c r="G9" s="167"/>
      <c r="H9" s="167"/>
      <c r="I9" s="167"/>
      <c r="J9" s="167"/>
      <c r="K9" s="167"/>
      <c r="L9" s="167"/>
      <c r="M9" s="167"/>
      <c r="N9" s="167"/>
      <c r="O9" s="169"/>
    </row>
    <row r="10" spans="1:15" s="12" customFormat="1" ht="10.15" customHeight="1">
      <c r="A10" s="164"/>
      <c r="B10" s="164"/>
      <c r="C10" s="165"/>
      <c r="D10" s="165"/>
      <c r="E10" s="165"/>
      <c r="F10" s="164"/>
      <c r="G10" s="164"/>
      <c r="H10" s="164"/>
      <c r="I10" s="164"/>
      <c r="J10" s="164"/>
      <c r="K10" s="164"/>
      <c r="L10" s="164"/>
      <c r="M10" s="155"/>
      <c r="N10" s="155"/>
      <c r="O10" s="155"/>
    </row>
    <row r="11" spans="1:15" s="12" customFormat="1" ht="10.15" customHeight="1">
      <c r="A11" s="172"/>
      <c r="B11" s="173"/>
      <c r="C11" s="174"/>
      <c r="D11" s="174"/>
      <c r="E11" s="174"/>
      <c r="F11" s="173"/>
      <c r="G11" s="173"/>
      <c r="H11" s="173"/>
      <c r="I11" s="173"/>
      <c r="J11" s="173"/>
      <c r="K11" s="173"/>
      <c r="L11" s="173"/>
      <c r="M11" s="173"/>
      <c r="N11" s="173"/>
      <c r="O11" s="175"/>
    </row>
    <row r="12" spans="1:15" s="12" customFormat="1" ht="15.75">
      <c r="A12" s="192" t="s">
        <v>736</v>
      </c>
      <c r="B12" s="164"/>
      <c r="C12" s="164"/>
      <c r="D12" s="164"/>
      <c r="E12" s="164"/>
      <c r="F12" s="164"/>
      <c r="G12" s="164"/>
      <c r="H12" s="164"/>
      <c r="I12" s="193"/>
      <c r="J12" s="193"/>
      <c r="K12" s="310" t="s">
        <v>136</v>
      </c>
      <c r="L12" s="310"/>
      <c r="M12" s="177" t="s">
        <v>716</v>
      </c>
      <c r="N12" s="310" t="s">
        <v>135</v>
      </c>
      <c r="O12" s="311"/>
    </row>
    <row r="13" spans="1:15" s="12" customFormat="1" ht="6" customHeight="1">
      <c r="A13" s="179"/>
      <c r="B13" s="180"/>
      <c r="C13" s="180"/>
      <c r="D13" s="164"/>
      <c r="E13" s="164"/>
      <c r="F13" s="164"/>
      <c r="G13" s="164"/>
      <c r="H13" s="164"/>
      <c r="I13" s="164"/>
      <c r="J13" s="164"/>
      <c r="K13" s="324" t="s">
        <v>133</v>
      </c>
      <c r="L13" s="324"/>
      <c r="M13" s="324" t="s">
        <v>134</v>
      </c>
      <c r="N13" s="324" t="s">
        <v>133</v>
      </c>
      <c r="O13" s="326"/>
    </row>
    <row r="14" spans="1:15" s="12" customFormat="1" ht="14.45" customHeight="1">
      <c r="A14" s="181" t="s">
        <v>132</v>
      </c>
      <c r="B14" s="182"/>
      <c r="C14" s="182"/>
      <c r="D14" s="182"/>
      <c r="E14" s="182"/>
      <c r="F14" s="182"/>
      <c r="G14" s="182"/>
      <c r="H14" s="182"/>
      <c r="I14" s="167"/>
      <c r="J14" s="167"/>
      <c r="K14" s="325"/>
      <c r="L14" s="325"/>
      <c r="M14" s="325"/>
      <c r="N14" s="325"/>
      <c r="O14" s="327"/>
    </row>
    <row r="15" spans="1:15" s="12" customFormat="1" ht="14.45" customHeight="1">
      <c r="A15" s="302" t="s">
        <v>131</v>
      </c>
      <c r="B15" s="303"/>
      <c r="C15" s="303"/>
      <c r="D15" s="303"/>
      <c r="E15" s="303"/>
      <c r="F15" s="303"/>
      <c r="G15" s="303"/>
      <c r="H15" s="303"/>
      <c r="I15" s="303"/>
      <c r="J15" s="328"/>
      <c r="K15" s="306"/>
      <c r="L15" s="307"/>
      <c r="M15" s="96">
        <v>1</v>
      </c>
      <c r="N15" s="329" t="str">
        <f t="shared" ref="N15:N23" si="0">IF(ISNUMBER(K15),K15*M15,"")</f>
        <v/>
      </c>
      <c r="O15" s="330"/>
    </row>
    <row r="16" spans="1:15" s="12" customFormat="1" ht="14.45" customHeight="1">
      <c r="A16" s="302" t="s">
        <v>130</v>
      </c>
      <c r="B16" s="303"/>
      <c r="C16" s="303"/>
      <c r="D16" s="303"/>
      <c r="E16" s="303"/>
      <c r="F16" s="303"/>
      <c r="G16" s="303"/>
      <c r="H16" s="303"/>
      <c r="I16" s="303"/>
      <c r="J16" s="328"/>
      <c r="K16" s="306"/>
      <c r="L16" s="307"/>
      <c r="M16" s="96">
        <v>1</v>
      </c>
      <c r="N16" s="329" t="str">
        <f t="shared" si="0"/>
        <v/>
      </c>
      <c r="O16" s="330"/>
    </row>
    <row r="17" spans="1:15" s="12" customFormat="1" ht="14.45" customHeight="1">
      <c r="A17" s="302" t="s">
        <v>670</v>
      </c>
      <c r="B17" s="303"/>
      <c r="C17" s="303"/>
      <c r="D17" s="303"/>
      <c r="E17" s="303"/>
      <c r="F17" s="303"/>
      <c r="G17" s="303"/>
      <c r="H17" s="303"/>
      <c r="I17" s="303"/>
      <c r="J17" s="328"/>
      <c r="K17" s="306"/>
      <c r="L17" s="307"/>
      <c r="M17" s="96">
        <v>0.7</v>
      </c>
      <c r="N17" s="329" t="str">
        <f>IF(ISNUMBER(K17),K17*M17,"")</f>
        <v/>
      </c>
      <c r="O17" s="330"/>
    </row>
    <row r="18" spans="1:15" s="12" customFormat="1" ht="14.45" customHeight="1">
      <c r="A18" s="302" t="s">
        <v>671</v>
      </c>
      <c r="B18" s="303"/>
      <c r="C18" s="303"/>
      <c r="D18" s="303"/>
      <c r="E18" s="303"/>
      <c r="F18" s="303"/>
      <c r="G18" s="303"/>
      <c r="H18" s="303"/>
      <c r="I18" s="303"/>
      <c r="J18" s="328"/>
      <c r="K18" s="306"/>
      <c r="L18" s="307"/>
      <c r="M18" s="96">
        <v>0.4</v>
      </c>
      <c r="N18" s="329" t="str">
        <f>IF(ISNUMBER(K18),K18*M18,"")</f>
        <v/>
      </c>
      <c r="O18" s="330"/>
    </row>
    <row r="19" spans="1:15" s="12" customFormat="1" ht="14.45" customHeight="1">
      <c r="A19" s="302" t="s">
        <v>672</v>
      </c>
      <c r="B19" s="303"/>
      <c r="C19" s="303"/>
      <c r="D19" s="303"/>
      <c r="E19" s="303"/>
      <c r="F19" s="303"/>
      <c r="G19" s="303"/>
      <c r="H19" s="303"/>
      <c r="I19" s="303"/>
      <c r="J19" s="328"/>
      <c r="K19" s="306"/>
      <c r="L19" s="307"/>
      <c r="M19" s="96">
        <v>0.3</v>
      </c>
      <c r="N19" s="329" t="str">
        <f t="shared" si="0"/>
        <v/>
      </c>
      <c r="O19" s="330"/>
    </row>
    <row r="20" spans="1:15" s="12" customFormat="1" ht="14.45" customHeight="1">
      <c r="A20" s="302" t="s">
        <v>673</v>
      </c>
      <c r="B20" s="303"/>
      <c r="C20" s="303"/>
      <c r="D20" s="303"/>
      <c r="E20" s="303"/>
      <c r="F20" s="303"/>
      <c r="G20" s="303"/>
      <c r="H20" s="303"/>
      <c r="I20" s="303"/>
      <c r="J20" s="328"/>
      <c r="K20" s="306"/>
      <c r="L20" s="307"/>
      <c r="M20" s="96">
        <v>0.2</v>
      </c>
      <c r="N20" s="329" t="str">
        <f t="shared" ref="N20" si="1">IF(ISNUMBER(K20),K20*M20,"")</f>
        <v/>
      </c>
      <c r="O20" s="330"/>
    </row>
    <row r="21" spans="1:15" s="12" customFormat="1" ht="14.45" customHeight="1">
      <c r="A21" s="302" t="s">
        <v>166</v>
      </c>
      <c r="B21" s="303"/>
      <c r="C21" s="303"/>
      <c r="D21" s="303"/>
      <c r="E21" s="303"/>
      <c r="F21" s="303"/>
      <c r="G21" s="303"/>
      <c r="H21" s="303"/>
      <c r="I21" s="303"/>
      <c r="J21" s="328"/>
      <c r="K21" s="306"/>
      <c r="L21" s="307"/>
      <c r="M21" s="96">
        <v>0.1</v>
      </c>
      <c r="N21" s="329" t="str">
        <f t="shared" si="0"/>
        <v/>
      </c>
      <c r="O21" s="330"/>
    </row>
    <row r="22" spans="1:15" s="12" customFormat="1" ht="14.45" customHeight="1">
      <c r="A22" s="302" t="s">
        <v>129</v>
      </c>
      <c r="B22" s="303"/>
      <c r="C22" s="303"/>
      <c r="D22" s="303"/>
      <c r="E22" s="303"/>
      <c r="F22" s="303"/>
      <c r="G22" s="303"/>
      <c r="H22" s="303"/>
      <c r="I22" s="303"/>
      <c r="J22" s="328"/>
      <c r="K22" s="306"/>
      <c r="L22" s="307"/>
      <c r="M22" s="96">
        <v>0.8</v>
      </c>
      <c r="N22" s="329" t="str">
        <f t="shared" si="0"/>
        <v/>
      </c>
      <c r="O22" s="330"/>
    </row>
    <row r="23" spans="1:15" s="12" customFormat="1" ht="14.45" customHeight="1">
      <c r="A23" s="302" t="s">
        <v>128</v>
      </c>
      <c r="B23" s="303"/>
      <c r="C23" s="303"/>
      <c r="D23" s="303"/>
      <c r="E23" s="303"/>
      <c r="F23" s="303"/>
      <c r="G23" s="303"/>
      <c r="H23" s="303"/>
      <c r="I23" s="303"/>
      <c r="J23" s="328"/>
      <c r="K23" s="306"/>
      <c r="L23" s="307"/>
      <c r="M23" s="96">
        <v>1</v>
      </c>
      <c r="N23" s="308" t="str">
        <f t="shared" si="0"/>
        <v/>
      </c>
      <c r="O23" s="309"/>
    </row>
    <row r="24" spans="1:15" s="12" customFormat="1" ht="6.95" customHeight="1">
      <c r="A24" s="183"/>
      <c r="B24" s="184"/>
      <c r="C24" s="184"/>
      <c r="D24" s="184"/>
      <c r="E24" s="184"/>
      <c r="F24" s="184"/>
      <c r="G24" s="184"/>
      <c r="H24" s="184"/>
      <c r="I24" s="184"/>
      <c r="J24" s="184"/>
      <c r="K24" s="185"/>
      <c r="L24" s="185"/>
      <c r="M24" s="186"/>
      <c r="N24" s="185"/>
      <c r="O24" s="187"/>
    </row>
    <row r="25" spans="1:15" s="12" customFormat="1" ht="14.45" customHeight="1">
      <c r="A25" s="181" t="s">
        <v>127</v>
      </c>
      <c r="B25" s="182"/>
      <c r="C25" s="182"/>
      <c r="D25" s="182"/>
      <c r="E25" s="182"/>
      <c r="F25" s="182"/>
      <c r="G25" s="182"/>
      <c r="H25" s="182"/>
      <c r="I25" s="310" t="s">
        <v>646</v>
      </c>
      <c r="J25" s="310"/>
      <c r="K25" s="182"/>
      <c r="L25" s="182"/>
      <c r="M25" s="182"/>
      <c r="N25" s="182"/>
      <c r="O25" s="188"/>
    </row>
    <row r="26" spans="1:15" s="12" customFormat="1" ht="14.45" customHeight="1">
      <c r="A26" s="302" t="s">
        <v>167</v>
      </c>
      <c r="B26" s="303"/>
      <c r="C26" s="303"/>
      <c r="D26" s="303"/>
      <c r="E26" s="303"/>
      <c r="F26" s="303"/>
      <c r="G26" s="303"/>
      <c r="H26" s="303"/>
      <c r="I26" s="304" t="s">
        <v>280</v>
      </c>
      <c r="J26" s="305"/>
      <c r="K26" s="306"/>
      <c r="L26" s="307"/>
      <c r="M26" s="96">
        <v>1</v>
      </c>
      <c r="N26" s="308" t="str">
        <f t="shared" ref="N26:N34" si="2">IF(ISNUMBER(K26),K26*M26,"")</f>
        <v/>
      </c>
      <c r="O26" s="309"/>
    </row>
    <row r="27" spans="1:15" s="12" customFormat="1" ht="14.45" customHeight="1">
      <c r="A27" s="302" t="s">
        <v>125</v>
      </c>
      <c r="B27" s="303"/>
      <c r="C27" s="303"/>
      <c r="D27" s="303"/>
      <c r="E27" s="303"/>
      <c r="F27" s="303"/>
      <c r="G27" s="303"/>
      <c r="H27" s="303"/>
      <c r="I27" s="304" t="s">
        <v>280</v>
      </c>
      <c r="J27" s="305"/>
      <c r="K27" s="306"/>
      <c r="L27" s="307"/>
      <c r="M27" s="96">
        <f>IF(I27="Gering",0.4,IF(I27="Mässig",0.6,IF(I27="Stark",0.8,0.4)))</f>
        <v>0.6</v>
      </c>
      <c r="N27" s="308" t="str">
        <f>IF(ISNUMBER(K27),K27*M27,"")</f>
        <v/>
      </c>
      <c r="O27" s="309"/>
    </row>
    <row r="28" spans="1:15" s="12" customFormat="1" ht="14.45" customHeight="1">
      <c r="A28" s="302" t="s">
        <v>675</v>
      </c>
      <c r="B28" s="303"/>
      <c r="C28" s="303"/>
      <c r="D28" s="303"/>
      <c r="E28" s="303"/>
      <c r="F28" s="303"/>
      <c r="G28" s="303"/>
      <c r="H28" s="303"/>
      <c r="I28" s="304" t="s">
        <v>280</v>
      </c>
      <c r="J28" s="305"/>
      <c r="K28" s="306"/>
      <c r="L28" s="307"/>
      <c r="M28" s="96">
        <f>IF(I28="Gering",0.2,IF(I28="Mässig",0.3,IF(I28="Stark",0.4,0.2)))</f>
        <v>0.3</v>
      </c>
      <c r="N28" s="308" t="str">
        <f>IF(ISNUMBER(K28),K28*M28,"")</f>
        <v/>
      </c>
      <c r="O28" s="309"/>
    </row>
    <row r="29" spans="1:15" s="12" customFormat="1" ht="14.45" customHeight="1">
      <c r="A29" s="302" t="s">
        <v>168</v>
      </c>
      <c r="B29" s="303"/>
      <c r="C29" s="303"/>
      <c r="D29" s="303"/>
      <c r="E29" s="303"/>
      <c r="F29" s="303"/>
      <c r="G29" s="303"/>
      <c r="H29" s="303"/>
      <c r="I29" s="304" t="s">
        <v>280</v>
      </c>
      <c r="J29" s="305"/>
      <c r="K29" s="306"/>
      <c r="L29" s="307"/>
      <c r="M29" s="96">
        <f>IF(I29="Gering",0.2,IF(I29="Mässig",0.5,IF(I29="Stark",0.8,0.2)))</f>
        <v>0.5</v>
      </c>
      <c r="N29" s="308" t="str">
        <f t="shared" si="2"/>
        <v/>
      </c>
      <c r="O29" s="309"/>
    </row>
    <row r="30" spans="1:15" s="12" customFormat="1" ht="14.45" customHeight="1">
      <c r="A30" s="302" t="s">
        <v>126</v>
      </c>
      <c r="B30" s="303"/>
      <c r="C30" s="303"/>
      <c r="D30" s="303"/>
      <c r="E30" s="303"/>
      <c r="F30" s="303"/>
      <c r="G30" s="303"/>
      <c r="H30" s="303"/>
      <c r="I30" s="304" t="s">
        <v>280</v>
      </c>
      <c r="J30" s="305"/>
      <c r="K30" s="306"/>
      <c r="L30" s="307"/>
      <c r="M30" s="96">
        <v>1</v>
      </c>
      <c r="N30" s="308" t="str">
        <f t="shared" si="2"/>
        <v/>
      </c>
      <c r="O30" s="309"/>
    </row>
    <row r="31" spans="1:15" s="12" customFormat="1" ht="14.45" customHeight="1">
      <c r="A31" s="302" t="s">
        <v>169</v>
      </c>
      <c r="B31" s="303"/>
      <c r="C31" s="303"/>
      <c r="D31" s="303"/>
      <c r="E31" s="303"/>
      <c r="F31" s="303"/>
      <c r="G31" s="303"/>
      <c r="H31" s="303"/>
      <c r="I31" s="304" t="s">
        <v>280</v>
      </c>
      <c r="J31" s="305"/>
      <c r="K31" s="306"/>
      <c r="L31" s="307"/>
      <c r="M31" s="96">
        <f>IF(I31="Gering",0.6,IF(I31="Mässig",0.8,IF(I31="Stark",0.9,0.6)))</f>
        <v>0.8</v>
      </c>
      <c r="N31" s="308" t="str">
        <f t="shared" si="2"/>
        <v/>
      </c>
      <c r="O31" s="309"/>
    </row>
    <row r="32" spans="1:15" s="12" customFormat="1" ht="14.45" customHeight="1">
      <c r="A32" s="302" t="s">
        <v>170</v>
      </c>
      <c r="B32" s="303"/>
      <c r="C32" s="303"/>
      <c r="D32" s="303"/>
      <c r="E32" s="303"/>
      <c r="F32" s="303"/>
      <c r="G32" s="303"/>
      <c r="H32" s="303"/>
      <c r="I32" s="304" t="s">
        <v>280</v>
      </c>
      <c r="J32" s="305"/>
      <c r="K32" s="306"/>
      <c r="L32" s="307"/>
      <c r="M32" s="96">
        <f>IF(I32="Gering",0.2,IF(I32="Mässig",0.4,IF(I32="Stark",0.6,0.2)))</f>
        <v>0.4</v>
      </c>
      <c r="N32" s="308" t="str">
        <f t="shared" si="2"/>
        <v/>
      </c>
      <c r="O32" s="309"/>
    </row>
    <row r="33" spans="1:15" s="12" customFormat="1" ht="14.45" customHeight="1">
      <c r="A33" s="302" t="s">
        <v>171</v>
      </c>
      <c r="B33" s="303"/>
      <c r="C33" s="303"/>
      <c r="D33" s="303"/>
      <c r="E33" s="303"/>
      <c r="F33" s="303"/>
      <c r="G33" s="303"/>
      <c r="H33" s="303"/>
      <c r="I33" s="304" t="s">
        <v>280</v>
      </c>
      <c r="J33" s="305"/>
      <c r="K33" s="306"/>
      <c r="L33" s="307"/>
      <c r="M33" s="96">
        <f>IF(I33="Gering",0.2,IF(I33="Mässig",0.4,IF(I33="Stark",0.6,0.2)))</f>
        <v>0.4</v>
      </c>
      <c r="N33" s="308" t="str">
        <f t="shared" si="2"/>
        <v/>
      </c>
      <c r="O33" s="309"/>
    </row>
    <row r="34" spans="1:15" s="12" customFormat="1" ht="14.45" customHeight="1">
      <c r="A34" s="302" t="s">
        <v>124</v>
      </c>
      <c r="B34" s="303"/>
      <c r="C34" s="303"/>
      <c r="D34" s="303"/>
      <c r="E34" s="303"/>
      <c r="F34" s="303"/>
      <c r="G34" s="303"/>
      <c r="H34" s="303"/>
      <c r="I34" s="304" t="s">
        <v>280</v>
      </c>
      <c r="J34" s="305"/>
      <c r="K34" s="306"/>
      <c r="L34" s="307"/>
      <c r="M34" s="96">
        <f>IF(I34="Gering",0.2,IF(I34="Mässig",0.4,IF(I34="Stark",0.6,0.2)))</f>
        <v>0.4</v>
      </c>
      <c r="N34" s="308" t="str">
        <f t="shared" si="2"/>
        <v/>
      </c>
      <c r="O34" s="309"/>
    </row>
    <row r="35" spans="1:15" s="12" customFormat="1" ht="14.45" customHeight="1">
      <c r="A35" s="302" t="s">
        <v>172</v>
      </c>
      <c r="B35" s="303"/>
      <c r="C35" s="303"/>
      <c r="D35" s="303"/>
      <c r="E35" s="303"/>
      <c r="F35" s="303"/>
      <c r="G35" s="303"/>
      <c r="H35" s="303"/>
      <c r="I35" s="304" t="s">
        <v>280</v>
      </c>
      <c r="J35" s="305"/>
      <c r="K35" s="306"/>
      <c r="L35" s="307"/>
      <c r="M35" s="96">
        <v>0.6</v>
      </c>
      <c r="N35" s="308" t="str">
        <f>IF(ISNUMBER(K35),K35*M35,"")</f>
        <v/>
      </c>
      <c r="O35" s="309"/>
    </row>
    <row r="36" spans="1:15" s="12" customFormat="1" ht="14.45" customHeight="1">
      <c r="A36" s="302" t="s">
        <v>173</v>
      </c>
      <c r="B36" s="303"/>
      <c r="C36" s="303"/>
      <c r="D36" s="303"/>
      <c r="E36" s="303"/>
      <c r="F36" s="303"/>
      <c r="G36" s="303"/>
      <c r="H36" s="303"/>
      <c r="I36" s="304" t="s">
        <v>280</v>
      </c>
      <c r="J36" s="305"/>
      <c r="K36" s="306"/>
      <c r="L36" s="307"/>
      <c r="M36" s="96">
        <v>0.2</v>
      </c>
      <c r="N36" s="308" t="str">
        <f>IF(ISNUMBER(K36),K36*M36,"")</f>
        <v/>
      </c>
      <c r="O36" s="309"/>
    </row>
    <row r="37" spans="1:15" s="12" customFormat="1" ht="6.95" customHeight="1">
      <c r="A37" s="183"/>
      <c r="B37" s="184"/>
      <c r="C37" s="184"/>
      <c r="D37" s="184"/>
      <c r="E37" s="184"/>
      <c r="F37" s="184"/>
      <c r="G37" s="184"/>
      <c r="H37" s="184"/>
      <c r="I37" s="184"/>
      <c r="J37" s="184"/>
      <c r="K37" s="185"/>
      <c r="L37" s="185"/>
      <c r="M37" s="186"/>
      <c r="N37" s="185"/>
      <c r="O37" s="187"/>
    </row>
    <row r="38" spans="1:15" s="12" customFormat="1" ht="14.45" customHeight="1">
      <c r="A38" s="181" t="s">
        <v>123</v>
      </c>
      <c r="B38" s="182"/>
      <c r="C38" s="182"/>
      <c r="D38" s="182"/>
      <c r="E38" s="182"/>
      <c r="F38" s="182"/>
      <c r="G38" s="182"/>
      <c r="H38" s="182"/>
      <c r="I38" s="182"/>
      <c r="J38" s="182"/>
      <c r="K38" s="182"/>
      <c r="L38" s="182"/>
      <c r="M38" s="182"/>
      <c r="N38" s="182"/>
      <c r="O38" s="188"/>
    </row>
    <row r="39" spans="1:15" s="12" customFormat="1" ht="14.45" customHeight="1">
      <c r="A39" s="302" t="s">
        <v>271</v>
      </c>
      <c r="B39" s="303"/>
      <c r="C39" s="303"/>
      <c r="D39" s="303"/>
      <c r="E39" s="303"/>
      <c r="F39" s="303"/>
      <c r="G39" s="303"/>
      <c r="H39" s="303"/>
      <c r="I39" s="304" t="s">
        <v>280</v>
      </c>
      <c r="J39" s="305"/>
      <c r="K39" s="306"/>
      <c r="L39" s="307"/>
      <c r="M39" s="96">
        <v>0.2</v>
      </c>
      <c r="N39" s="308" t="str">
        <f>IF(ISNUMBER(K39),K39*M39,"")</f>
        <v/>
      </c>
      <c r="O39" s="309"/>
    </row>
    <row r="40" spans="1:15" s="12" customFormat="1" ht="14.45" customHeight="1">
      <c r="A40" s="302" t="s">
        <v>288</v>
      </c>
      <c r="B40" s="303"/>
      <c r="C40" s="303"/>
      <c r="D40" s="303"/>
      <c r="E40" s="303"/>
      <c r="F40" s="303"/>
      <c r="G40" s="303"/>
      <c r="H40" s="303"/>
      <c r="I40" s="304" t="s">
        <v>280</v>
      </c>
      <c r="J40" s="305"/>
      <c r="K40" s="306"/>
      <c r="L40" s="307"/>
      <c r="M40" s="96">
        <v>0.3</v>
      </c>
      <c r="N40" s="308" t="str">
        <f>IF(ISNUMBER(K40),K40*M40,"")</f>
        <v/>
      </c>
      <c r="O40" s="309"/>
    </row>
    <row r="41" spans="1:15" s="12" customFormat="1" ht="14.45" customHeight="1">
      <c r="A41" s="302" t="s">
        <v>270</v>
      </c>
      <c r="B41" s="303"/>
      <c r="C41" s="303"/>
      <c r="D41" s="303"/>
      <c r="E41" s="303"/>
      <c r="F41" s="303"/>
      <c r="G41" s="303"/>
      <c r="H41" s="303"/>
      <c r="I41" s="304" t="s">
        <v>280</v>
      </c>
      <c r="J41" s="305"/>
      <c r="K41" s="306"/>
      <c r="L41" s="307"/>
      <c r="M41" s="96">
        <v>0</v>
      </c>
      <c r="N41" s="308" t="str">
        <f>IF(ISNUMBER(K41),K41*M41,"")</f>
        <v/>
      </c>
      <c r="O41" s="309"/>
    </row>
    <row r="42" spans="1:15" s="12" customFormat="1" ht="6.95" customHeight="1">
      <c r="A42" s="183"/>
      <c r="B42" s="184"/>
      <c r="C42" s="184"/>
      <c r="D42" s="184"/>
      <c r="E42" s="184"/>
      <c r="F42" s="184"/>
      <c r="G42" s="184"/>
      <c r="H42" s="184"/>
      <c r="I42" s="184"/>
      <c r="J42" s="184"/>
      <c r="K42" s="185"/>
      <c r="L42" s="185"/>
      <c r="M42" s="186"/>
      <c r="N42" s="185"/>
      <c r="O42" s="187"/>
    </row>
    <row r="43" spans="1:15" s="12" customFormat="1" ht="14.45" customHeight="1">
      <c r="A43" s="181" t="s">
        <v>291</v>
      </c>
      <c r="B43" s="182"/>
      <c r="C43" s="182"/>
      <c r="D43" s="182"/>
      <c r="E43" s="182"/>
      <c r="F43" s="182"/>
      <c r="G43" s="182"/>
      <c r="H43" s="182"/>
      <c r="I43" s="182"/>
      <c r="J43" s="182"/>
      <c r="K43" s="182"/>
      <c r="L43" s="182"/>
      <c r="M43" s="182"/>
      <c r="N43" s="182"/>
      <c r="O43" s="188"/>
    </row>
    <row r="44" spans="1:15" s="12" customFormat="1" ht="14.45" customHeight="1">
      <c r="A44" s="304"/>
      <c r="B44" s="369"/>
      <c r="C44" s="369"/>
      <c r="D44" s="369"/>
      <c r="E44" s="369"/>
      <c r="F44" s="369"/>
      <c r="G44" s="369"/>
      <c r="H44" s="305"/>
      <c r="I44" s="304" t="s">
        <v>280</v>
      </c>
      <c r="J44" s="305"/>
      <c r="K44" s="306"/>
      <c r="L44" s="307"/>
      <c r="M44" s="97"/>
      <c r="N44" s="308" t="str">
        <f>IF(ISNUMBER(K44),K44*M44,"")</f>
        <v/>
      </c>
      <c r="O44" s="309"/>
    </row>
    <row r="45" spans="1:15" s="12" customFormat="1" ht="14.45" customHeight="1">
      <c r="A45" s="304"/>
      <c r="B45" s="369"/>
      <c r="C45" s="369"/>
      <c r="D45" s="369"/>
      <c r="E45" s="369"/>
      <c r="F45" s="369"/>
      <c r="G45" s="369"/>
      <c r="H45" s="305"/>
      <c r="I45" s="304" t="s">
        <v>280</v>
      </c>
      <c r="J45" s="305"/>
      <c r="K45" s="306"/>
      <c r="L45" s="307"/>
      <c r="M45" s="97"/>
      <c r="N45" s="308" t="str">
        <f>IF(ISNUMBER(K45),K45*M45,"")</f>
        <v/>
      </c>
      <c r="O45" s="309"/>
    </row>
    <row r="46" spans="1:15" s="12" customFormat="1" ht="14.45" customHeight="1">
      <c r="A46" s="304"/>
      <c r="B46" s="369"/>
      <c r="C46" s="369"/>
      <c r="D46" s="369"/>
      <c r="E46" s="369"/>
      <c r="F46" s="369"/>
      <c r="G46" s="369"/>
      <c r="H46" s="305"/>
      <c r="I46" s="304" t="s">
        <v>280</v>
      </c>
      <c r="J46" s="305"/>
      <c r="K46" s="306"/>
      <c r="L46" s="307"/>
      <c r="M46" s="97"/>
      <c r="N46" s="308" t="str">
        <f>IF(ISNUMBER(K46),K46*M46,"")</f>
        <v/>
      </c>
      <c r="O46" s="309"/>
    </row>
    <row r="47" spans="1:15" s="12" customFormat="1" ht="14.45" customHeight="1">
      <c r="A47" s="304"/>
      <c r="B47" s="369"/>
      <c r="C47" s="369"/>
      <c r="D47" s="369"/>
      <c r="E47" s="369"/>
      <c r="F47" s="369"/>
      <c r="G47" s="369"/>
      <c r="H47" s="305"/>
      <c r="I47" s="304" t="s">
        <v>280</v>
      </c>
      <c r="J47" s="305"/>
      <c r="K47" s="306"/>
      <c r="L47" s="307"/>
      <c r="M47" s="97"/>
      <c r="N47" s="308" t="str">
        <f>IF(ISNUMBER(K47),K47*M47,"")</f>
        <v/>
      </c>
      <c r="O47" s="309"/>
    </row>
    <row r="48" spans="1:15" s="12" customFormat="1" ht="6" customHeight="1">
      <c r="A48" s="179"/>
      <c r="B48" s="180"/>
      <c r="C48" s="164"/>
      <c r="D48" s="164"/>
      <c r="E48" s="164"/>
      <c r="F48" s="164"/>
      <c r="G48" s="164"/>
      <c r="H48" s="164"/>
      <c r="I48" s="164"/>
      <c r="J48" s="164"/>
      <c r="K48" s="180"/>
      <c r="L48" s="164"/>
      <c r="M48" s="164"/>
      <c r="N48" s="164"/>
      <c r="O48" s="191"/>
    </row>
    <row r="49" spans="1:15" s="17" customFormat="1" ht="14.45" customHeight="1">
      <c r="A49" s="223"/>
      <c r="B49" s="189"/>
      <c r="C49" s="189"/>
      <c r="D49" s="189"/>
      <c r="E49" s="189"/>
      <c r="F49" s="189"/>
      <c r="G49" s="189"/>
      <c r="H49" s="189"/>
      <c r="I49" s="310" t="s">
        <v>122</v>
      </c>
      <c r="J49" s="311"/>
      <c r="K49" s="308">
        <f>SUM(K15:L23,K26:L36,K39:L41,K44:L47)</f>
        <v>0</v>
      </c>
      <c r="L49" s="309"/>
      <c r="M49" s="190" t="str">
        <f>IF(N49="---","",IF(N49&gt;=2001,"&gt; 2000 m2 !!!",""))</f>
        <v/>
      </c>
      <c r="N49" s="308">
        <f>SUM(N15:O23,N26:O36,N39:O41,N44:O47)</f>
        <v>0</v>
      </c>
      <c r="O49" s="309"/>
    </row>
    <row r="50" spans="1:15" s="12" customFormat="1" ht="5.0999999999999996" customHeight="1">
      <c r="A50" s="166"/>
      <c r="B50" s="167"/>
      <c r="C50" s="168"/>
      <c r="D50" s="168"/>
      <c r="E50" s="168"/>
      <c r="F50" s="167"/>
      <c r="G50" s="167"/>
      <c r="H50" s="167"/>
      <c r="I50" s="167"/>
      <c r="J50" s="167"/>
      <c r="K50" s="167"/>
      <c r="L50" s="167"/>
      <c r="M50" s="167"/>
      <c r="N50" s="167"/>
      <c r="O50" s="169"/>
    </row>
    <row r="51" spans="1:15" s="12" customFormat="1" ht="10.15" customHeight="1">
      <c r="A51" s="164"/>
      <c r="B51" s="164"/>
      <c r="C51" s="165"/>
      <c r="D51" s="165"/>
      <c r="E51" s="165"/>
      <c r="F51" s="164"/>
      <c r="G51" s="164"/>
      <c r="H51" s="164"/>
      <c r="I51" s="164"/>
      <c r="J51" s="164"/>
      <c r="K51" s="164"/>
      <c r="L51" s="164"/>
      <c r="M51" s="164"/>
      <c r="N51" s="164"/>
      <c r="O51" s="164"/>
    </row>
    <row r="52" spans="1:15" s="12" customFormat="1" ht="10.15" customHeight="1">
      <c r="A52" s="172"/>
      <c r="B52" s="173"/>
      <c r="C52" s="174"/>
      <c r="D52" s="174"/>
      <c r="E52" s="174"/>
      <c r="F52" s="173"/>
      <c r="G52" s="173"/>
      <c r="H52" s="173"/>
      <c r="I52" s="173"/>
      <c r="J52" s="173"/>
      <c r="K52" s="173"/>
      <c r="L52" s="173"/>
      <c r="M52" s="173"/>
      <c r="N52" s="173"/>
      <c r="O52" s="175"/>
    </row>
    <row r="53" spans="1:15" s="12" customFormat="1" ht="14.45" customHeight="1">
      <c r="A53" s="192" t="s">
        <v>174</v>
      </c>
      <c r="B53" s="164"/>
      <c r="C53" s="164"/>
      <c r="D53" s="164"/>
      <c r="E53" s="164" t="s">
        <v>272</v>
      </c>
      <c r="F53" s="164"/>
      <c r="G53" s="164"/>
      <c r="H53" s="164"/>
      <c r="I53" s="235"/>
      <c r="J53" s="319" t="str">
        <f>Berechnung_Retention!B9</f>
        <v>Wartau</v>
      </c>
      <c r="K53" s="319"/>
      <c r="L53" s="193"/>
      <c r="M53" s="194"/>
      <c r="N53" s="193"/>
      <c r="O53" s="214"/>
    </row>
    <row r="54" spans="1:15" s="12" customFormat="1" ht="14.45" customHeight="1">
      <c r="A54" s="223"/>
      <c r="B54" s="189"/>
      <c r="C54" s="205"/>
      <c r="D54" s="205"/>
      <c r="E54" s="164"/>
      <c r="F54" s="164"/>
      <c r="G54" s="164"/>
      <c r="H54" s="164"/>
      <c r="I54" s="164"/>
      <c r="J54" s="155"/>
      <c r="K54" s="164"/>
      <c r="L54" s="164"/>
      <c r="M54" s="164"/>
      <c r="N54" s="164"/>
      <c r="O54" s="191"/>
    </row>
    <row r="55" spans="1:15" s="12" customFormat="1" ht="14.45" customHeight="1">
      <c r="A55" s="21" t="s">
        <v>121</v>
      </c>
      <c r="B55" s="16"/>
      <c r="C55" s="24"/>
      <c r="D55" s="24"/>
      <c r="E55" s="203" t="s">
        <v>120</v>
      </c>
      <c r="F55" s="155"/>
      <c r="G55" s="224"/>
      <c r="H55" s="224"/>
      <c r="I55" s="155"/>
      <c r="J55" s="155" t="s">
        <v>667</v>
      </c>
      <c r="K55" s="155"/>
      <c r="L55" s="98" t="str">
        <f>IF(K49=0,"---",IF(N49/K49&lt;=Berechnung_Retention!B13,"---",Berechnung_Retention!B30))</f>
        <v>---</v>
      </c>
      <c r="M55" s="155" t="s">
        <v>112</v>
      </c>
      <c r="N55" s="233" t="str">
        <f>IF(L55="---","",IF(L55&gt;=120,"&gt; 120 min !!!",""))</f>
        <v/>
      </c>
      <c r="O55" s="191"/>
    </row>
    <row r="56" spans="1:15" s="12" customFormat="1" ht="14.45" customHeight="1">
      <c r="A56" s="206"/>
      <c r="B56" s="193"/>
      <c r="C56" s="207"/>
      <c r="D56" s="207"/>
      <c r="E56" s="155"/>
      <c r="F56" s="155"/>
      <c r="G56" s="224"/>
      <c r="H56" s="224"/>
      <c r="I56" s="155"/>
      <c r="J56" s="155" t="s">
        <v>666</v>
      </c>
      <c r="K56" s="155"/>
      <c r="L56" s="99" t="str">
        <f>IF(K49=0,"---",IF(N49/K49&lt;=Berechnung_Retention!B13,"---",Berechnung_Retention!E30))</f>
        <v>---</v>
      </c>
      <c r="M56" s="155" t="s">
        <v>118</v>
      </c>
      <c r="N56" s="164"/>
      <c r="O56" s="191"/>
    </row>
    <row r="57" spans="1:15" s="12" customFormat="1" ht="14.45" customHeight="1">
      <c r="A57" s="210" t="s">
        <v>717</v>
      </c>
      <c r="B57" s="193"/>
      <c r="C57" s="207"/>
      <c r="D57" s="155"/>
      <c r="E57" s="101" t="str">
        <f>IF(K49=0,IF(N49=0,"---","---"),N49/K49)</f>
        <v>---</v>
      </c>
      <c r="F57" s="203"/>
      <c r="G57" s="155"/>
      <c r="H57" s="155"/>
      <c r="I57" s="155"/>
      <c r="J57" s="155"/>
      <c r="K57" s="155"/>
      <c r="L57" s="7"/>
      <c r="M57" s="155"/>
      <c r="N57" s="164"/>
      <c r="O57" s="191"/>
    </row>
    <row r="58" spans="1:15" s="12" customFormat="1" ht="14.45" customHeight="1">
      <c r="A58" s="170" t="s">
        <v>685</v>
      </c>
      <c r="B58" s="193"/>
      <c r="C58" s="207"/>
      <c r="D58" s="155"/>
      <c r="E58" s="101">
        <f>IF(OR(ISNUMBER(C8),ISNUMBER(F8)),IF(ISNUMBER(F8),F8,C8),"---")</f>
        <v>0.1</v>
      </c>
      <c r="F58" s="203"/>
      <c r="G58" s="155"/>
      <c r="H58" s="155"/>
      <c r="I58" s="155"/>
      <c r="J58" s="155"/>
      <c r="K58" s="201" t="s">
        <v>662</v>
      </c>
      <c r="L58" s="100" t="str">
        <f>IF(K49=0,"---",IF(N49/K49&lt;=Berechnung_Retention!B13,"---",Berechnung_Retention!F30))</f>
        <v>---</v>
      </c>
      <c r="M58" s="155" t="s">
        <v>117</v>
      </c>
      <c r="N58" s="234" t="str">
        <f>IF(L58="---","",IF(ROUND(L59,1)&gt;ROUND(L58,1),"Ablauf &gt;Zulauf !",""))</f>
        <v/>
      </c>
      <c r="O58" s="161"/>
    </row>
    <row r="59" spans="1:15" s="12" customFormat="1" ht="14.45" customHeight="1">
      <c r="A59" s="206"/>
      <c r="B59" s="193"/>
      <c r="C59" s="207"/>
      <c r="D59" s="207"/>
      <c r="E59" s="7"/>
      <c r="F59" s="155"/>
      <c r="G59" s="155"/>
      <c r="H59" s="155"/>
      <c r="I59" s="155"/>
      <c r="J59" s="155"/>
      <c r="K59" s="201" t="s">
        <v>663</v>
      </c>
      <c r="L59" s="100" t="str">
        <f>IF(K49=0,"---",Berechnung_Retention!B14)</f>
        <v>---</v>
      </c>
      <c r="M59" s="155" t="s">
        <v>117</v>
      </c>
      <c r="N59" s="203" t="s">
        <v>116</v>
      </c>
      <c r="O59" s="161"/>
    </row>
    <row r="60" spans="1:15" s="12" customFormat="1" ht="14.45" customHeight="1">
      <c r="A60" s="206" t="s">
        <v>115</v>
      </c>
      <c r="B60" s="193"/>
      <c r="C60" s="207"/>
      <c r="D60" s="207"/>
      <c r="E60" s="99" t="str">
        <f>IF(K49=0,"---",IF(N49/K49&lt;=Berechnung_Retention!B13,"---",Berechnung_Retention!B15))</f>
        <v>---</v>
      </c>
      <c r="F60" s="155" t="s">
        <v>114</v>
      </c>
      <c r="G60" s="155"/>
      <c r="H60" s="193"/>
      <c r="I60" s="155"/>
      <c r="J60" s="155"/>
      <c r="K60" s="218" t="s">
        <v>718</v>
      </c>
      <c r="L60" s="99">
        <f>ROUND(Berechnung_Retention!J18,0)</f>
        <v>265</v>
      </c>
      <c r="M60" s="155" t="s">
        <v>118</v>
      </c>
      <c r="N60" s="155"/>
      <c r="O60" s="191"/>
    </row>
    <row r="61" spans="1:15" s="12" customFormat="1" ht="14.45" customHeight="1" thickBot="1">
      <c r="A61" s="206"/>
      <c r="B61" s="193"/>
      <c r="C61" s="207"/>
      <c r="D61" s="207"/>
      <c r="E61" s="7"/>
      <c r="F61" s="155"/>
      <c r="G61" s="155"/>
      <c r="H61" s="193"/>
      <c r="I61" s="155"/>
      <c r="J61" s="155"/>
      <c r="K61" s="155"/>
      <c r="L61" s="155"/>
      <c r="M61" s="155"/>
      <c r="N61" s="155"/>
      <c r="O61" s="191"/>
    </row>
    <row r="62" spans="1:15" s="17" customFormat="1" ht="20.100000000000001" customHeight="1">
      <c r="A62" s="102" t="s">
        <v>664</v>
      </c>
      <c r="B62" s="103"/>
      <c r="C62" s="104"/>
      <c r="D62" s="104"/>
      <c r="E62" s="104"/>
      <c r="F62" s="105">
        <f>IF(K49=0,0,IF(L55&gt;119,"---",IF(IF(N49/K49&lt;=Berechnung_Retention!B13,0,IF(L58&lt;L59,0,ROUND(Berechnung_Retention!I30,1)))&lt;0.5,0,IF(IF(N49/K49&lt;=Berechnung_Retention!B13,0,IF(L58&lt;L59,0,ROUND(Berechnung_Retention!I30,1)))&lt;1,1,IF(N49/K49&lt;=Berechnung_Retention!B13,0,IF(L58&lt;L59,0,ROUND(Berechnung_Retention!I30,1)))))))</f>
        <v>0</v>
      </c>
      <c r="G62" s="106" t="s">
        <v>113</v>
      </c>
      <c r="H62" s="193"/>
      <c r="I62" s="193"/>
      <c r="J62" s="193"/>
      <c r="K62" s="193"/>
      <c r="L62" s="193"/>
      <c r="M62" s="193"/>
      <c r="N62" s="193"/>
      <c r="O62" s="245"/>
    </row>
    <row r="63" spans="1:15" s="17" customFormat="1" ht="20.100000000000001" customHeight="1" thickBot="1">
      <c r="A63" s="107" t="s">
        <v>665</v>
      </c>
      <c r="B63" s="108"/>
      <c r="C63" s="109"/>
      <c r="D63" s="109"/>
      <c r="E63" s="109"/>
      <c r="F63" s="110">
        <f>IF(F62=0,0,IF(L55&gt;119,"---",F62*1000/L59/60))</f>
        <v>0</v>
      </c>
      <c r="G63" s="111" t="s">
        <v>112</v>
      </c>
      <c r="H63" s="193"/>
      <c r="I63" s="193"/>
      <c r="J63" s="193"/>
      <c r="K63" s="193"/>
      <c r="L63" s="193"/>
      <c r="M63" s="193"/>
      <c r="N63" s="193"/>
      <c r="O63" s="245"/>
    </row>
    <row r="64" spans="1:15" s="12" customFormat="1" ht="14.45" customHeight="1">
      <c r="A64" s="236"/>
      <c r="B64" s="162"/>
      <c r="C64" s="207"/>
      <c r="D64" s="207"/>
      <c r="E64" s="155"/>
      <c r="F64" s="155"/>
      <c r="G64" s="155"/>
      <c r="H64" s="155"/>
      <c r="I64" s="155"/>
      <c r="J64" s="155"/>
      <c r="K64" s="155"/>
      <c r="L64" s="155"/>
      <c r="M64" s="155"/>
      <c r="N64" s="155"/>
      <c r="O64" s="191"/>
    </row>
    <row r="65" spans="1:15" s="12" customFormat="1" ht="14.45" customHeight="1">
      <c r="A65" s="237" t="s">
        <v>111</v>
      </c>
      <c r="B65" s="162"/>
      <c r="C65" s="209"/>
      <c r="D65" s="209"/>
      <c r="E65" s="193"/>
      <c r="F65" s="193"/>
      <c r="G65" s="193"/>
      <c r="H65" s="155"/>
      <c r="I65" s="155"/>
      <c r="J65" s="155"/>
      <c r="K65" s="155"/>
      <c r="L65" s="155"/>
      <c r="M65" s="155"/>
      <c r="N65" s="155"/>
      <c r="O65" s="191"/>
    </row>
    <row r="66" spans="1:15" s="12" customFormat="1" ht="14.45" customHeight="1">
      <c r="A66" s="238" t="s">
        <v>110</v>
      </c>
      <c r="B66" s="162"/>
      <c r="C66" s="209"/>
      <c r="D66" s="209"/>
      <c r="E66" s="193"/>
      <c r="F66" s="193"/>
      <c r="G66" s="193"/>
      <c r="H66" s="155"/>
      <c r="I66" s="155"/>
      <c r="J66" s="155"/>
      <c r="K66" s="155"/>
      <c r="L66" s="155"/>
      <c r="M66" s="155"/>
      <c r="N66" s="155"/>
      <c r="O66" s="191"/>
    </row>
    <row r="67" spans="1:15" s="12" customFormat="1" ht="14.45" customHeight="1">
      <c r="A67" s="170"/>
      <c r="B67" s="162"/>
      <c r="C67" s="209"/>
      <c r="D67" s="209"/>
      <c r="E67" s="193"/>
      <c r="F67" s="193"/>
      <c r="G67" s="193"/>
      <c r="H67" s="155"/>
      <c r="I67" s="155"/>
      <c r="J67" s="155"/>
      <c r="K67" s="155"/>
      <c r="L67" s="155"/>
      <c r="M67" s="155"/>
      <c r="N67" s="155"/>
      <c r="O67" s="191"/>
    </row>
    <row r="68" spans="1:15" s="12" customFormat="1" ht="14.45" customHeight="1">
      <c r="A68" s="170" t="s">
        <v>720</v>
      </c>
      <c r="B68" s="162"/>
      <c r="C68" s="209"/>
      <c r="D68" s="209"/>
      <c r="E68" s="112">
        <v>120</v>
      </c>
      <c r="F68" s="193" t="s">
        <v>106</v>
      </c>
      <c r="G68" s="193"/>
      <c r="H68" s="155"/>
      <c r="I68" s="155"/>
      <c r="J68" s="155"/>
      <c r="K68" s="155"/>
      <c r="L68" s="155"/>
      <c r="M68" s="155"/>
      <c r="N68" s="155"/>
      <c r="O68" s="191"/>
    </row>
    <row r="69" spans="1:15" s="12" customFormat="1" ht="14.45" customHeight="1">
      <c r="A69" s="239" t="s">
        <v>109</v>
      </c>
      <c r="B69" s="162"/>
      <c r="C69" s="209"/>
      <c r="D69" s="209"/>
      <c r="E69" s="193"/>
      <c r="F69" s="193"/>
      <c r="G69" s="193"/>
      <c r="H69" s="155"/>
      <c r="I69" s="155"/>
      <c r="J69" s="155"/>
      <c r="K69" s="155"/>
      <c r="L69" s="155"/>
      <c r="M69" s="155"/>
      <c r="N69" s="155"/>
      <c r="O69" s="191"/>
    </row>
    <row r="70" spans="1:15" s="12" customFormat="1" ht="14.45" customHeight="1">
      <c r="A70" s="170"/>
      <c r="B70" s="162"/>
      <c r="C70" s="162"/>
      <c r="D70" s="162"/>
      <c r="E70" s="162"/>
      <c r="F70" s="162"/>
      <c r="G70" s="193"/>
      <c r="H70" s="155"/>
      <c r="I70" s="155"/>
      <c r="J70" s="155"/>
      <c r="K70" s="155"/>
      <c r="L70" s="155"/>
      <c r="M70" s="155"/>
      <c r="N70" s="155"/>
      <c r="O70" s="191"/>
    </row>
    <row r="71" spans="1:15" s="12" customFormat="1" ht="14.45" customHeight="1">
      <c r="A71" s="240" t="s">
        <v>719</v>
      </c>
      <c r="B71" s="241"/>
      <c r="C71" s="207"/>
      <c r="D71" s="207"/>
      <c r="E71" s="100" t="str">
        <f>IF(F62=0,"---",IF(ISBLANK(E68),"---",IF(E68&lt;=0,"---",((L59/1000)/0.673)/(SQRT(2*9.81*(E68/100)/2))*10000)))</f>
        <v>---</v>
      </c>
      <c r="F71" s="155" t="s">
        <v>108</v>
      </c>
      <c r="G71" s="193"/>
      <c r="H71" s="155"/>
      <c r="I71" s="155"/>
      <c r="J71" s="155"/>
      <c r="K71" s="155"/>
      <c r="L71" s="155"/>
      <c r="M71" s="155"/>
      <c r="N71" s="155"/>
      <c r="O71" s="191"/>
    </row>
    <row r="72" spans="1:15" s="12" customFormat="1" ht="14.45" customHeight="1">
      <c r="A72" s="170"/>
      <c r="B72" s="241"/>
      <c r="C72" s="207"/>
      <c r="D72" s="242" t="s">
        <v>107</v>
      </c>
      <c r="E72" s="98" t="str">
        <f>IF(F62=0,"---",IF(ISBLANK(E68),"---Versickerungsanlage!L58",IF(E68&lt;=0,"---",ROUND(SQRT(E71/PI())*2/5,1)*5)))</f>
        <v>---</v>
      </c>
      <c r="F72" s="155" t="s">
        <v>106</v>
      </c>
      <c r="G72" s="193"/>
      <c r="H72" s="155"/>
      <c r="I72" s="155"/>
      <c r="J72" s="155"/>
      <c r="K72" s="155"/>
      <c r="L72" s="155"/>
      <c r="M72" s="155"/>
      <c r="N72" s="155"/>
      <c r="O72" s="191"/>
    </row>
    <row r="73" spans="1:15" s="12" customFormat="1" ht="14.45" customHeight="1">
      <c r="A73" s="170"/>
      <c r="B73" s="162"/>
      <c r="C73" s="207"/>
      <c r="D73" s="207"/>
      <c r="E73" s="226" t="s">
        <v>660</v>
      </c>
      <c r="F73" s="155"/>
      <c r="G73" s="155"/>
      <c r="H73" s="155"/>
      <c r="I73" s="155"/>
      <c r="J73" s="155"/>
      <c r="K73" s="155"/>
      <c r="L73" s="155"/>
      <c r="M73" s="155"/>
      <c r="N73" s="155"/>
      <c r="O73" s="191"/>
    </row>
    <row r="74" spans="1:15" s="12" customFormat="1" ht="5.0999999999999996" customHeight="1">
      <c r="A74" s="243"/>
      <c r="B74" s="244"/>
      <c r="C74" s="229"/>
      <c r="D74" s="229"/>
      <c r="E74" s="230"/>
      <c r="F74" s="230"/>
      <c r="G74" s="230"/>
      <c r="H74" s="230"/>
      <c r="I74" s="230"/>
      <c r="J74" s="230"/>
      <c r="K74" s="230"/>
      <c r="L74" s="230"/>
      <c r="M74" s="230"/>
      <c r="N74" s="230"/>
      <c r="O74" s="169"/>
    </row>
    <row r="75" spans="1:15">
      <c r="A75" s="231"/>
      <c r="B75" s="231"/>
      <c r="C75" s="231"/>
      <c r="D75" s="231"/>
      <c r="E75" s="231"/>
      <c r="F75" s="231"/>
      <c r="G75" s="231"/>
      <c r="H75" s="231"/>
      <c r="I75" s="231"/>
      <c r="J75" s="231"/>
      <c r="K75" s="231"/>
      <c r="L75" s="231"/>
      <c r="M75" s="231"/>
      <c r="N75" s="231"/>
      <c r="O75" s="231"/>
    </row>
    <row r="76" spans="1:15">
      <c r="A76" s="86"/>
      <c r="B76" s="162" t="s">
        <v>105</v>
      </c>
      <c r="C76" s="162"/>
      <c r="D76" s="162"/>
      <c r="E76" s="162"/>
      <c r="F76" s="115"/>
      <c r="G76" s="162" t="s">
        <v>104</v>
      </c>
      <c r="H76" s="162"/>
      <c r="I76" s="162"/>
      <c r="J76" s="271"/>
      <c r="K76" s="162" t="s">
        <v>785</v>
      </c>
      <c r="L76" s="162"/>
      <c r="M76" s="162"/>
      <c r="N76" s="162"/>
      <c r="O76" s="162"/>
    </row>
    <row r="77" spans="1:15" s="7" customFormat="1">
      <c r="A77" s="162"/>
      <c r="B77" s="162"/>
      <c r="C77" s="162"/>
      <c r="D77" s="162"/>
      <c r="E77" s="162"/>
      <c r="F77" s="162"/>
      <c r="G77" s="162"/>
      <c r="H77" s="162"/>
      <c r="I77" s="162"/>
      <c r="J77" s="162"/>
      <c r="K77" s="162"/>
      <c r="L77" s="162"/>
      <c r="M77" s="162"/>
      <c r="N77" s="162"/>
      <c r="O77" s="162"/>
    </row>
  </sheetData>
  <sheetProtection algorithmName="SHA-512" hashValue="nG8Eepz5vhRDUhQMVSKCfb826LjUBpQiwTQr8NJ44Q+o/NX2P+v7x0h2U2ojlp41jH4aOEPQih1bAMJ0ApDpQQ==" saltValue="A4luiNDV48aLM2yi8X5ISw==" spinCount="100000" sheet="1" selectLockedCells="1"/>
  <mergeCells count="123">
    <mergeCell ref="A46:H46"/>
    <mergeCell ref="A47:H47"/>
    <mergeCell ref="N44:O44"/>
    <mergeCell ref="N33:O33"/>
    <mergeCell ref="N26:O26"/>
    <mergeCell ref="N36:O36"/>
    <mergeCell ref="N30:O30"/>
    <mergeCell ref="N31:O31"/>
    <mergeCell ref="K32:L32"/>
    <mergeCell ref="K39:L39"/>
    <mergeCell ref="N27:O27"/>
    <mergeCell ref="N28:O28"/>
    <mergeCell ref="N34:O34"/>
    <mergeCell ref="K40:L40"/>
    <mergeCell ref="I45:J45"/>
    <mergeCell ref="I46:J46"/>
    <mergeCell ref="I31:J31"/>
    <mergeCell ref="I32:J32"/>
    <mergeCell ref="I33:J33"/>
    <mergeCell ref="I34:J34"/>
    <mergeCell ref="I35:J35"/>
    <mergeCell ref="I36:J36"/>
    <mergeCell ref="I39:J39"/>
    <mergeCell ref="K34:L34"/>
    <mergeCell ref="N12:O12"/>
    <mergeCell ref="M13:M14"/>
    <mergeCell ref="N19:O19"/>
    <mergeCell ref="K12:L12"/>
    <mergeCell ref="L8:O8"/>
    <mergeCell ref="I49:J49"/>
    <mergeCell ref="K49:L49"/>
    <mergeCell ref="N49:O49"/>
    <mergeCell ref="N45:O45"/>
    <mergeCell ref="N46:O46"/>
    <mergeCell ref="N47:O47"/>
    <mergeCell ref="K44:L44"/>
    <mergeCell ref="K46:L46"/>
    <mergeCell ref="I47:J47"/>
    <mergeCell ref="N41:O41"/>
    <mergeCell ref="K33:L33"/>
    <mergeCell ref="N29:O29"/>
    <mergeCell ref="K13:L14"/>
    <mergeCell ref="K27:L27"/>
    <mergeCell ref="K47:L47"/>
    <mergeCell ref="K41:L41"/>
    <mergeCell ref="K30:L30"/>
    <mergeCell ref="K31:L31"/>
    <mergeCell ref="I44:J44"/>
    <mergeCell ref="A3:B3"/>
    <mergeCell ref="A7:B7"/>
    <mergeCell ref="A4:B4"/>
    <mergeCell ref="A5:B5"/>
    <mergeCell ref="A6:B6"/>
    <mergeCell ref="L4:O4"/>
    <mergeCell ref="L5:O5"/>
    <mergeCell ref="L6:O6"/>
    <mergeCell ref="L7:O7"/>
    <mergeCell ref="C5:F5"/>
    <mergeCell ref="C6:F6"/>
    <mergeCell ref="G5:H5"/>
    <mergeCell ref="C7:F7"/>
    <mergeCell ref="J53:K53"/>
    <mergeCell ref="N32:O32"/>
    <mergeCell ref="N13:O14"/>
    <mergeCell ref="N23:O23"/>
    <mergeCell ref="K15:L15"/>
    <mergeCell ref="K16:L16"/>
    <mergeCell ref="K17:L17"/>
    <mergeCell ref="K26:L26"/>
    <mergeCell ref="N15:O15"/>
    <mergeCell ref="N16:O16"/>
    <mergeCell ref="N17:O17"/>
    <mergeCell ref="K35:L35"/>
    <mergeCell ref="N35:O35"/>
    <mergeCell ref="K36:L36"/>
    <mergeCell ref="N22:O22"/>
    <mergeCell ref="K22:L22"/>
    <mergeCell ref="N21:O21"/>
    <mergeCell ref="K19:L19"/>
    <mergeCell ref="K21:L21"/>
    <mergeCell ref="K20:L20"/>
    <mergeCell ref="N20:O20"/>
    <mergeCell ref="K29:L29"/>
    <mergeCell ref="N39:O39"/>
    <mergeCell ref="K28:L28"/>
    <mergeCell ref="I29:J29"/>
    <mergeCell ref="I30:J30"/>
    <mergeCell ref="N18:O18"/>
    <mergeCell ref="N40:O40"/>
    <mergeCell ref="K18:L18"/>
    <mergeCell ref="K23:L23"/>
    <mergeCell ref="A21:J21"/>
    <mergeCell ref="A22:J22"/>
    <mergeCell ref="A23:J23"/>
    <mergeCell ref="I26:J26"/>
    <mergeCell ref="I25:J25"/>
    <mergeCell ref="A26:H26"/>
    <mergeCell ref="A27:H27"/>
    <mergeCell ref="A28:H28"/>
    <mergeCell ref="A15:J15"/>
    <mergeCell ref="A16:J16"/>
    <mergeCell ref="A17:J17"/>
    <mergeCell ref="A19:J19"/>
    <mergeCell ref="A18:J18"/>
    <mergeCell ref="A20:J20"/>
    <mergeCell ref="K45:L45"/>
    <mergeCell ref="A44:H44"/>
    <mergeCell ref="I40:J40"/>
    <mergeCell ref="I41:J41"/>
    <mergeCell ref="A32:H32"/>
    <mergeCell ref="A33:H33"/>
    <mergeCell ref="A34:H34"/>
    <mergeCell ref="A35:H35"/>
    <mergeCell ref="A36:H36"/>
    <mergeCell ref="A39:H39"/>
    <mergeCell ref="A40:H40"/>
    <mergeCell ref="A41:H41"/>
    <mergeCell ref="A45:H45"/>
    <mergeCell ref="A29:H29"/>
    <mergeCell ref="A30:H30"/>
    <mergeCell ref="A31:H31"/>
    <mergeCell ref="I27:J27"/>
    <mergeCell ref="I28:J28"/>
  </mergeCells>
  <pageMargins left="0.5546875" right="0.1953125" top="0.82677165354330717" bottom="0.47244094488188981" header="0.18382352941176472" footer="0.19685039370078741"/>
  <pageSetup paperSize="9" scale="75" orientation="portrait" r:id="rId1"/>
  <headerFooter alignWithMargins="0">
    <oddHeader>&amp;L&amp;"Arial,Standard"&amp;10Kanton St.Gallen
Bau- und Umweltdepartement
&amp;"Arial,Fett"Amt für Wasser und Energie&amp;C&amp;"Arial,Fett"&amp;16Dimensionierung 
Retentionsanlagen&amp;R&amp;G</oddHeader>
  </headerFooter>
  <ignoredErrors>
    <ignoredError sqref="L8" unlockedFormula="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8" r:id="rId5" name="Drop Down 4">
              <controlPr defaultSize="0" autoLine="0" autoPict="0">
                <anchor moveWithCells="1">
                  <from>
                    <xdr:col>2</xdr:col>
                    <xdr:colOff>0</xdr:colOff>
                    <xdr:row>3</xdr:row>
                    <xdr:rowOff>0</xdr:rowOff>
                  </from>
                  <to>
                    <xdr:col>5</xdr:col>
                    <xdr:colOff>0</xdr:colOff>
                    <xdr:row>4</xdr:row>
                    <xdr:rowOff>0</xdr:rowOff>
                  </to>
                </anchor>
              </controlPr>
            </control>
          </mc:Choice>
        </mc:AlternateContent>
        <mc:AlternateContent xmlns:mc="http://schemas.openxmlformats.org/markup-compatibility/2006">
          <mc:Choice Requires="x14">
            <control shapeId="6150" r:id="rId6" name="Drop Down 5">
              <controlPr locked="0" defaultSize="0" autoLine="0" autoPict="0">
                <anchor moveWithCells="1">
                  <from>
                    <xdr:col>1</xdr:col>
                    <xdr:colOff>514350</xdr:colOff>
                    <xdr:row>54</xdr:row>
                    <xdr:rowOff>0</xdr:rowOff>
                  </from>
                  <to>
                    <xdr:col>3</xdr:col>
                    <xdr:colOff>371475</xdr:colOff>
                    <xdr:row>55</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8116F7D5-451D-4EE9-B473-52C298B04B6B}">
          <x14:formula1>
            <xm:f>Auswahlliste!$I$14:$I$16</xm:f>
          </x14:formula1>
          <xm:sqref>I26:J36 I44:J47 I39:I41 J40:J41</xm:sqref>
        </x14:dataValidation>
        <x14:dataValidation type="list" allowBlank="1" showInputMessage="1" showErrorMessage="1" xr:uid="{1523DCB3-D664-4E55-BE67-BE4AD0ADF495}">
          <x14:formula1>
            <xm:f>Berechnung_Retention!$Q:$Q</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79E8A-DCB3-432D-BB3B-7A21BCF21B52}">
  <sheetPr codeName="Tabelle4"/>
  <dimension ref="A1:P78"/>
  <sheetViews>
    <sheetView tabSelected="1" view="pageLayout" zoomScale="130" zoomScaleNormal="115" zoomScalePageLayoutView="130" workbookViewId="0">
      <selection activeCell="K27" sqref="K27:L27"/>
    </sheetView>
  </sheetViews>
  <sheetFormatPr baseColWidth="10" defaultColWidth="8.42578125" defaultRowHeight="12.75"/>
  <cols>
    <col min="1" max="1" width="8.7109375" style="8" customWidth="1"/>
    <col min="2" max="2" width="10.42578125" style="8" customWidth="1"/>
    <col min="3" max="11" width="7.7109375" style="8" customWidth="1"/>
    <col min="12" max="12" width="6.140625" style="8" customWidth="1"/>
    <col min="13" max="13" width="12" style="8" customWidth="1"/>
    <col min="14" max="15" width="7.28515625" style="8" customWidth="1"/>
    <col min="16" max="16384" width="8.42578125" style="8"/>
  </cols>
  <sheetData>
    <row r="1" spans="1:15" ht="20.25">
      <c r="A1" s="153"/>
      <c r="B1" s="154"/>
      <c r="C1" s="154"/>
      <c r="D1" s="154"/>
      <c r="E1" s="154"/>
      <c r="F1" s="155"/>
      <c r="G1" s="155"/>
      <c r="H1" s="155"/>
      <c r="I1" s="155"/>
      <c r="J1" s="155"/>
      <c r="K1" s="155"/>
      <c r="L1" s="155"/>
      <c r="M1" s="155"/>
      <c r="N1" s="155"/>
      <c r="O1" s="156" t="s">
        <v>812</v>
      </c>
    </row>
    <row r="2" spans="1:15" ht="5.0999999999999996" customHeight="1">
      <c r="A2" s="157"/>
      <c r="B2" s="158"/>
      <c r="C2" s="158"/>
      <c r="D2" s="158"/>
      <c r="E2" s="158"/>
      <c r="F2" s="159"/>
      <c r="G2" s="159"/>
      <c r="H2" s="159"/>
      <c r="I2" s="159"/>
      <c r="J2" s="159"/>
      <c r="K2" s="159"/>
      <c r="L2" s="159"/>
      <c r="M2" s="159"/>
      <c r="N2" s="159"/>
      <c r="O2" s="160"/>
    </row>
    <row r="3" spans="1:15" ht="14.25" customHeight="1">
      <c r="A3" s="332" t="s">
        <v>144</v>
      </c>
      <c r="B3" s="333"/>
      <c r="C3" s="154"/>
      <c r="D3" s="154"/>
      <c r="E3" s="154"/>
      <c r="F3" s="155"/>
      <c r="G3" s="155"/>
      <c r="H3" s="155"/>
      <c r="I3" s="155"/>
      <c r="J3" s="155"/>
      <c r="K3" s="155"/>
      <c r="L3" s="155"/>
      <c r="M3" s="155"/>
      <c r="N3" s="155"/>
      <c r="O3" s="161"/>
    </row>
    <row r="4" spans="1:15" ht="14.25" customHeight="1">
      <c r="A4" s="334" t="s">
        <v>143</v>
      </c>
      <c r="B4" s="335"/>
      <c r="C4" s="331"/>
      <c r="D4" s="331"/>
      <c r="E4" s="331"/>
      <c r="F4" s="331"/>
      <c r="G4" s="162"/>
      <c r="H4" s="162"/>
      <c r="I4" s="162"/>
      <c r="J4" s="162" t="s">
        <v>142</v>
      </c>
      <c r="K4" s="162"/>
      <c r="L4" s="315"/>
      <c r="M4" s="315"/>
      <c r="N4" s="315"/>
      <c r="O4" s="320"/>
    </row>
    <row r="5" spans="1:15" s="28" customFormat="1" ht="14.25" customHeight="1">
      <c r="A5" s="334" t="s">
        <v>647</v>
      </c>
      <c r="B5" s="335"/>
      <c r="C5" s="315"/>
      <c r="D5" s="315"/>
      <c r="E5" s="315"/>
      <c r="F5" s="315"/>
      <c r="G5" s="163" t="str">
        <f>"Gemeinde"&amp;SUBSTITUTE(SUBSTITUTE(_xlfn.XLOOKUP(Berechnung_Versickerung!B8,Auswahlliste!D2:D176,Auswahlliste!D2:D176,)," ",""),"-","")</f>
        <v>Gemeinde23</v>
      </c>
      <c r="H5" s="162"/>
      <c r="I5" s="162"/>
      <c r="J5" s="162" t="s">
        <v>141</v>
      </c>
      <c r="K5" s="162"/>
      <c r="L5" s="315"/>
      <c r="M5" s="315"/>
      <c r="N5" s="315"/>
      <c r="O5" s="320"/>
    </row>
    <row r="6" spans="1:15" s="12" customFormat="1" ht="14.25" customHeight="1">
      <c r="A6" s="334" t="s">
        <v>145</v>
      </c>
      <c r="B6" s="335"/>
      <c r="C6" s="315"/>
      <c r="D6" s="315"/>
      <c r="E6" s="315"/>
      <c r="F6" s="315"/>
      <c r="G6" s="162"/>
      <c r="H6" s="162"/>
      <c r="I6" s="162"/>
      <c r="J6" s="162" t="s">
        <v>139</v>
      </c>
      <c r="K6" s="162"/>
      <c r="L6" s="315"/>
      <c r="M6" s="315"/>
      <c r="N6" s="315"/>
      <c r="O6" s="320"/>
    </row>
    <row r="7" spans="1:15" s="12" customFormat="1" ht="14.25" customHeight="1">
      <c r="A7" s="334" t="s">
        <v>140</v>
      </c>
      <c r="B7" s="335"/>
      <c r="C7" s="316" t="s">
        <v>536</v>
      </c>
      <c r="D7" s="317"/>
      <c r="E7" s="317"/>
      <c r="F7" s="318"/>
      <c r="G7" s="162"/>
      <c r="H7" s="162"/>
      <c r="I7" s="162"/>
      <c r="J7" s="162" t="s">
        <v>137</v>
      </c>
      <c r="K7" s="162"/>
      <c r="L7" s="315"/>
      <c r="M7" s="315"/>
      <c r="N7" s="315"/>
      <c r="O7" s="320"/>
    </row>
    <row r="8" spans="1:15" s="17" customFormat="1" ht="14.25" customHeight="1">
      <c r="A8" s="170" t="s">
        <v>685</v>
      </c>
      <c r="B8" s="162"/>
      <c r="C8" s="148" cm="1">
        <f t="array" ref="C8">_xlfn.XLOOKUP(G5&amp;C7,Abflussbeiwerte!B2:B2000&amp;Abflussbeiwerte!C2:C2000,Abflussbeiwerte!E2:E2000,,FALSE)</f>
        <v>0.1</v>
      </c>
      <c r="D8" s="152"/>
      <c r="E8" s="152"/>
      <c r="F8" s="152"/>
      <c r="G8" s="162"/>
      <c r="H8" s="162"/>
      <c r="I8" s="162"/>
      <c r="J8" s="162" t="s">
        <v>138</v>
      </c>
      <c r="K8" s="162"/>
      <c r="L8" s="321">
        <f ca="1">TODAY()</f>
        <v>46234</v>
      </c>
      <c r="M8" s="322"/>
      <c r="N8" s="322"/>
      <c r="O8" s="323"/>
    </row>
    <row r="9" spans="1:15" s="12" customFormat="1" ht="5.0999999999999996" customHeight="1">
      <c r="A9" s="166"/>
      <c r="B9" s="167"/>
      <c r="C9" s="168"/>
      <c r="D9" s="168"/>
      <c r="E9" s="168"/>
      <c r="F9" s="167"/>
      <c r="G9" s="167"/>
      <c r="H9" s="167"/>
      <c r="I9" s="167"/>
      <c r="J9" s="26"/>
      <c r="K9" s="26"/>
      <c r="L9" s="26"/>
      <c r="M9" s="26"/>
      <c r="N9" s="26"/>
      <c r="O9" s="13"/>
    </row>
    <row r="10" spans="1:15" s="12" customFormat="1" ht="10.15" customHeight="1">
      <c r="A10" s="164"/>
      <c r="B10" s="164"/>
      <c r="C10" s="165"/>
      <c r="D10" s="165"/>
      <c r="E10" s="165"/>
      <c r="F10" s="164"/>
      <c r="G10" s="164"/>
      <c r="H10" s="164"/>
      <c r="I10" s="164"/>
      <c r="J10" s="164"/>
      <c r="K10" s="164"/>
      <c r="L10" s="164"/>
      <c r="M10" s="155"/>
      <c r="N10" s="155"/>
      <c r="O10" s="155"/>
    </row>
    <row r="11" spans="1:15" s="12" customFormat="1" ht="10.15" customHeight="1">
      <c r="A11" s="172"/>
      <c r="B11" s="173"/>
      <c r="C11" s="174"/>
      <c r="D11" s="174"/>
      <c r="E11" s="174"/>
      <c r="F11" s="173"/>
      <c r="G11" s="173"/>
      <c r="H11" s="173"/>
      <c r="I11" s="173"/>
      <c r="J11" s="173"/>
      <c r="K11" s="173"/>
      <c r="L11" s="173"/>
      <c r="M11" s="173"/>
      <c r="N11" s="173"/>
      <c r="O11" s="175"/>
    </row>
    <row r="12" spans="1:15" s="12" customFormat="1" ht="15.75">
      <c r="A12" s="192" t="s">
        <v>736</v>
      </c>
      <c r="B12" s="164"/>
      <c r="C12" s="164"/>
      <c r="D12" s="164"/>
      <c r="E12" s="164"/>
      <c r="F12" s="164"/>
      <c r="G12" s="164"/>
      <c r="H12" s="164"/>
      <c r="I12" s="164"/>
      <c r="J12" s="164"/>
      <c r="K12" s="310" t="s">
        <v>136</v>
      </c>
      <c r="L12" s="310"/>
      <c r="M12" s="177" t="s">
        <v>716</v>
      </c>
      <c r="N12" s="310" t="s">
        <v>135</v>
      </c>
      <c r="O12" s="311"/>
    </row>
    <row r="13" spans="1:15" s="12" customFormat="1" ht="6" customHeight="1">
      <c r="A13" s="179"/>
      <c r="B13" s="180"/>
      <c r="C13" s="180"/>
      <c r="D13" s="164"/>
      <c r="E13" s="164"/>
      <c r="F13" s="164"/>
      <c r="G13" s="164"/>
      <c r="H13" s="164"/>
      <c r="I13" s="164"/>
      <c r="J13" s="164"/>
      <c r="K13" s="324" t="s">
        <v>133</v>
      </c>
      <c r="L13" s="324"/>
      <c r="M13" s="324" t="s">
        <v>134</v>
      </c>
      <c r="N13" s="324" t="s">
        <v>133</v>
      </c>
      <c r="O13" s="326"/>
    </row>
    <row r="14" spans="1:15" s="12" customFormat="1" ht="14.45" customHeight="1">
      <c r="A14" s="181" t="s">
        <v>132</v>
      </c>
      <c r="B14" s="182"/>
      <c r="C14" s="182"/>
      <c r="D14" s="182"/>
      <c r="E14" s="182"/>
      <c r="F14" s="182"/>
      <c r="G14" s="182"/>
      <c r="H14" s="182"/>
      <c r="I14" s="182"/>
      <c r="J14" s="182"/>
      <c r="K14" s="325"/>
      <c r="L14" s="325"/>
      <c r="M14" s="325"/>
      <c r="N14" s="325"/>
      <c r="O14" s="327"/>
    </row>
    <row r="15" spans="1:15" s="12" customFormat="1" ht="14.45" customHeight="1">
      <c r="A15" s="302" t="s">
        <v>131</v>
      </c>
      <c r="B15" s="303"/>
      <c r="C15" s="303"/>
      <c r="D15" s="303"/>
      <c r="E15" s="303"/>
      <c r="F15" s="303"/>
      <c r="G15" s="303"/>
      <c r="H15" s="303"/>
      <c r="I15" s="303"/>
      <c r="J15" s="328"/>
      <c r="K15" s="306">
        <v>182</v>
      </c>
      <c r="L15" s="307"/>
      <c r="M15" s="96">
        <v>1</v>
      </c>
      <c r="N15" s="329">
        <f t="shared" ref="N15:N23" si="0">IF(ISNUMBER(K15),K15*M15,"")</f>
        <v>182</v>
      </c>
      <c r="O15" s="330"/>
    </row>
    <row r="16" spans="1:15" s="12" customFormat="1" ht="14.45" customHeight="1">
      <c r="A16" s="302" t="s">
        <v>130</v>
      </c>
      <c r="B16" s="303"/>
      <c r="C16" s="303"/>
      <c r="D16" s="303"/>
      <c r="E16" s="303"/>
      <c r="F16" s="303"/>
      <c r="G16" s="303"/>
      <c r="H16" s="303"/>
      <c r="I16" s="303"/>
      <c r="J16" s="328"/>
      <c r="K16" s="306"/>
      <c r="L16" s="307"/>
      <c r="M16" s="96">
        <v>1</v>
      </c>
      <c r="N16" s="329" t="str">
        <f t="shared" si="0"/>
        <v/>
      </c>
      <c r="O16" s="330"/>
    </row>
    <row r="17" spans="1:15" s="12" customFormat="1" ht="14.45" customHeight="1">
      <c r="A17" s="302" t="s">
        <v>670</v>
      </c>
      <c r="B17" s="303"/>
      <c r="C17" s="303"/>
      <c r="D17" s="303"/>
      <c r="E17" s="303"/>
      <c r="F17" s="303"/>
      <c r="G17" s="303"/>
      <c r="H17" s="303"/>
      <c r="I17" s="303"/>
      <c r="J17" s="328"/>
      <c r="K17" s="306"/>
      <c r="L17" s="307"/>
      <c r="M17" s="96">
        <v>0.7</v>
      </c>
      <c r="N17" s="329" t="str">
        <f t="shared" si="0"/>
        <v/>
      </c>
      <c r="O17" s="330"/>
    </row>
    <row r="18" spans="1:15" s="12" customFormat="1" ht="14.45" customHeight="1">
      <c r="A18" s="302" t="s">
        <v>671</v>
      </c>
      <c r="B18" s="303"/>
      <c r="C18" s="303"/>
      <c r="D18" s="303"/>
      <c r="E18" s="303"/>
      <c r="F18" s="303"/>
      <c r="G18" s="303"/>
      <c r="H18" s="303"/>
      <c r="I18" s="303"/>
      <c r="J18" s="328"/>
      <c r="K18" s="306"/>
      <c r="L18" s="307"/>
      <c r="M18" s="96">
        <v>0.4</v>
      </c>
      <c r="N18" s="329" t="str">
        <f t="shared" ref="N18" si="1">IF(ISNUMBER(K18),K18*M18,"")</f>
        <v/>
      </c>
      <c r="O18" s="330"/>
    </row>
    <row r="19" spans="1:15" s="12" customFormat="1" ht="14.45" customHeight="1">
      <c r="A19" s="302" t="s">
        <v>672</v>
      </c>
      <c r="B19" s="303"/>
      <c r="C19" s="303"/>
      <c r="D19" s="303"/>
      <c r="E19" s="303"/>
      <c r="F19" s="303"/>
      <c r="G19" s="303"/>
      <c r="H19" s="303"/>
      <c r="I19" s="303"/>
      <c r="J19" s="328"/>
      <c r="K19" s="306"/>
      <c r="L19" s="307"/>
      <c r="M19" s="96">
        <v>0.3</v>
      </c>
      <c r="N19" s="329" t="str">
        <f t="shared" si="0"/>
        <v/>
      </c>
      <c r="O19" s="330"/>
    </row>
    <row r="20" spans="1:15" s="12" customFormat="1" ht="14.45" customHeight="1">
      <c r="A20" s="302" t="s">
        <v>673</v>
      </c>
      <c r="B20" s="303"/>
      <c r="C20" s="303"/>
      <c r="D20" s="303"/>
      <c r="E20" s="303"/>
      <c r="F20" s="303"/>
      <c r="G20" s="303"/>
      <c r="H20" s="303"/>
      <c r="I20" s="303"/>
      <c r="J20" s="328"/>
      <c r="K20" s="306"/>
      <c r="L20" s="307"/>
      <c r="M20" s="96">
        <v>0.2</v>
      </c>
      <c r="N20" s="329" t="str">
        <f t="shared" si="0"/>
        <v/>
      </c>
      <c r="O20" s="330"/>
    </row>
    <row r="21" spans="1:15" s="12" customFormat="1" ht="14.45" customHeight="1">
      <c r="A21" s="302" t="s">
        <v>166</v>
      </c>
      <c r="B21" s="303"/>
      <c r="C21" s="303"/>
      <c r="D21" s="303"/>
      <c r="E21" s="303"/>
      <c r="F21" s="303"/>
      <c r="G21" s="303"/>
      <c r="H21" s="303"/>
      <c r="I21" s="303"/>
      <c r="J21" s="328"/>
      <c r="K21" s="306"/>
      <c r="L21" s="307"/>
      <c r="M21" s="96">
        <v>0.1</v>
      </c>
      <c r="N21" s="329" t="str">
        <f t="shared" si="0"/>
        <v/>
      </c>
      <c r="O21" s="330"/>
    </row>
    <row r="22" spans="1:15" s="12" customFormat="1" ht="14.45" customHeight="1">
      <c r="A22" s="302" t="s">
        <v>129</v>
      </c>
      <c r="B22" s="303"/>
      <c r="C22" s="303"/>
      <c r="D22" s="303"/>
      <c r="E22" s="303"/>
      <c r="F22" s="303"/>
      <c r="G22" s="303"/>
      <c r="H22" s="303"/>
      <c r="I22" s="303"/>
      <c r="J22" s="328"/>
      <c r="K22" s="306">
        <v>66</v>
      </c>
      <c r="L22" s="307"/>
      <c r="M22" s="96">
        <v>0.8</v>
      </c>
      <c r="N22" s="329">
        <f t="shared" si="0"/>
        <v>52.800000000000004</v>
      </c>
      <c r="O22" s="330"/>
    </row>
    <row r="23" spans="1:15" s="12" customFormat="1" ht="14.45" customHeight="1">
      <c r="A23" s="302" t="s">
        <v>128</v>
      </c>
      <c r="B23" s="303"/>
      <c r="C23" s="303"/>
      <c r="D23" s="303"/>
      <c r="E23" s="303"/>
      <c r="F23" s="303"/>
      <c r="G23" s="303"/>
      <c r="H23" s="303"/>
      <c r="I23" s="303"/>
      <c r="J23" s="328"/>
      <c r="K23" s="306"/>
      <c r="L23" s="307"/>
      <c r="M23" s="96">
        <v>1</v>
      </c>
      <c r="N23" s="308" t="str">
        <f t="shared" si="0"/>
        <v/>
      </c>
      <c r="O23" s="309"/>
    </row>
    <row r="24" spans="1:15" s="12" customFormat="1" ht="6.95" customHeight="1">
      <c r="A24" s="183"/>
      <c r="B24" s="184"/>
      <c r="C24" s="184"/>
      <c r="D24" s="184"/>
      <c r="E24" s="184"/>
      <c r="F24" s="184"/>
      <c r="G24" s="184"/>
      <c r="H24" s="184"/>
      <c r="I24" s="184"/>
      <c r="J24" s="184"/>
      <c r="K24" s="185"/>
      <c r="L24" s="185"/>
      <c r="M24" s="186"/>
      <c r="N24" s="185"/>
      <c r="O24" s="187"/>
    </row>
    <row r="25" spans="1:15" s="12" customFormat="1" ht="14.45" customHeight="1">
      <c r="A25" s="181" t="s">
        <v>127</v>
      </c>
      <c r="B25" s="182"/>
      <c r="C25" s="182"/>
      <c r="D25" s="182"/>
      <c r="E25" s="182"/>
      <c r="F25" s="182"/>
      <c r="G25" s="182"/>
      <c r="H25" s="182"/>
      <c r="I25" s="310" t="s">
        <v>646</v>
      </c>
      <c r="J25" s="310"/>
      <c r="K25" s="182"/>
      <c r="L25" s="182"/>
      <c r="M25" s="182"/>
      <c r="N25" s="182"/>
      <c r="O25" s="188"/>
    </row>
    <row r="26" spans="1:15" s="12" customFormat="1" ht="14.45" customHeight="1">
      <c r="A26" s="302" t="s">
        <v>167</v>
      </c>
      <c r="B26" s="303"/>
      <c r="C26" s="303"/>
      <c r="D26" s="303"/>
      <c r="E26" s="303"/>
      <c r="F26" s="303"/>
      <c r="G26" s="303"/>
      <c r="H26" s="303"/>
      <c r="I26" s="304" t="s">
        <v>280</v>
      </c>
      <c r="J26" s="305"/>
      <c r="K26" s="306">
        <v>30</v>
      </c>
      <c r="L26" s="307"/>
      <c r="M26" s="96">
        <v>1</v>
      </c>
      <c r="N26" s="308">
        <f t="shared" ref="N26:N34" si="2">IF(ISNUMBER(K26),K26*M26,"")</f>
        <v>30</v>
      </c>
      <c r="O26" s="309"/>
    </row>
    <row r="27" spans="1:15" s="12" customFormat="1" ht="14.45" customHeight="1">
      <c r="A27" s="302" t="s">
        <v>125</v>
      </c>
      <c r="B27" s="303"/>
      <c r="C27" s="303"/>
      <c r="D27" s="303"/>
      <c r="E27" s="303"/>
      <c r="F27" s="303"/>
      <c r="G27" s="303"/>
      <c r="H27" s="303"/>
      <c r="I27" s="304" t="s">
        <v>280</v>
      </c>
      <c r="J27" s="305"/>
      <c r="K27" s="306"/>
      <c r="L27" s="307"/>
      <c r="M27" s="96">
        <f>IF(I27="Gering",0.4,IF(I27="Mässig",0.6,IF(I27="Stark",0.8,0.4)))</f>
        <v>0.6</v>
      </c>
      <c r="N27" s="308" t="str">
        <f>IF(ISNUMBER(K27),K27*M27,"")</f>
        <v/>
      </c>
      <c r="O27" s="309"/>
    </row>
    <row r="28" spans="1:15" s="12" customFormat="1" ht="14.45" customHeight="1">
      <c r="A28" s="302" t="s">
        <v>675</v>
      </c>
      <c r="B28" s="303"/>
      <c r="C28" s="303"/>
      <c r="D28" s="303"/>
      <c r="E28" s="303"/>
      <c r="F28" s="303"/>
      <c r="G28" s="303"/>
      <c r="H28" s="303"/>
      <c r="I28" s="304" t="s">
        <v>280</v>
      </c>
      <c r="J28" s="305"/>
      <c r="K28" s="306"/>
      <c r="L28" s="307"/>
      <c r="M28" s="96">
        <f>IF(I28="Gering",0.2,IF(I28="Mässig",0.3,IF(I28="Stark",0.4,0.2)))</f>
        <v>0.3</v>
      </c>
      <c r="N28" s="308" t="str">
        <f>IF(ISNUMBER(K28),K28*M28,"")</f>
        <v/>
      </c>
      <c r="O28" s="309"/>
    </row>
    <row r="29" spans="1:15" s="12" customFormat="1" ht="14.45" customHeight="1">
      <c r="A29" s="302" t="s">
        <v>168</v>
      </c>
      <c r="B29" s="303"/>
      <c r="C29" s="303"/>
      <c r="D29" s="303"/>
      <c r="E29" s="303"/>
      <c r="F29" s="303"/>
      <c r="G29" s="303"/>
      <c r="H29" s="303"/>
      <c r="I29" s="304" t="s">
        <v>280</v>
      </c>
      <c r="J29" s="305"/>
      <c r="K29" s="306"/>
      <c r="L29" s="307"/>
      <c r="M29" s="96">
        <f>IF(I29="Gering",0.2,IF(I29="Mässig",0.5,IF(I29="Stark",0.8,0.2)))</f>
        <v>0.5</v>
      </c>
      <c r="N29" s="308" t="str">
        <f t="shared" si="2"/>
        <v/>
      </c>
      <c r="O29" s="309"/>
    </row>
    <row r="30" spans="1:15" s="12" customFormat="1" ht="14.45" customHeight="1">
      <c r="A30" s="302" t="s">
        <v>126</v>
      </c>
      <c r="B30" s="303"/>
      <c r="C30" s="303"/>
      <c r="D30" s="303"/>
      <c r="E30" s="303"/>
      <c r="F30" s="303"/>
      <c r="G30" s="303"/>
      <c r="H30" s="303"/>
      <c r="I30" s="304" t="s">
        <v>280</v>
      </c>
      <c r="J30" s="305"/>
      <c r="K30" s="306"/>
      <c r="L30" s="307"/>
      <c r="M30" s="96">
        <v>1</v>
      </c>
      <c r="N30" s="308" t="str">
        <f t="shared" si="2"/>
        <v/>
      </c>
      <c r="O30" s="309"/>
    </row>
    <row r="31" spans="1:15" s="12" customFormat="1" ht="14.45" customHeight="1">
      <c r="A31" s="302" t="s">
        <v>169</v>
      </c>
      <c r="B31" s="303"/>
      <c r="C31" s="303"/>
      <c r="D31" s="303"/>
      <c r="E31" s="303"/>
      <c r="F31" s="303"/>
      <c r="G31" s="303"/>
      <c r="H31" s="303"/>
      <c r="I31" s="304" t="s">
        <v>280</v>
      </c>
      <c r="J31" s="305"/>
      <c r="K31" s="306"/>
      <c r="L31" s="307"/>
      <c r="M31" s="96">
        <f>IF(I31="Gering",0.6,IF(I31="Mässig",0.8,IF(I31="Stark",0.9,0.6)))</f>
        <v>0.8</v>
      </c>
      <c r="N31" s="308" t="str">
        <f t="shared" si="2"/>
        <v/>
      </c>
      <c r="O31" s="309"/>
    </row>
    <row r="32" spans="1:15" s="12" customFormat="1" ht="14.45" customHeight="1">
      <c r="A32" s="302" t="s">
        <v>170</v>
      </c>
      <c r="B32" s="303"/>
      <c r="C32" s="303"/>
      <c r="D32" s="303"/>
      <c r="E32" s="303"/>
      <c r="F32" s="303"/>
      <c r="G32" s="303"/>
      <c r="H32" s="303"/>
      <c r="I32" s="304" t="s">
        <v>280</v>
      </c>
      <c r="J32" s="305"/>
      <c r="K32" s="306"/>
      <c r="L32" s="307"/>
      <c r="M32" s="96">
        <f>IF(I32="Gering",0.2,IF(I32="Mässig",0.4,IF(I32="Stark",0.6,0.2)))</f>
        <v>0.4</v>
      </c>
      <c r="N32" s="308" t="str">
        <f t="shared" si="2"/>
        <v/>
      </c>
      <c r="O32" s="309"/>
    </row>
    <row r="33" spans="1:15" s="12" customFormat="1" ht="14.45" customHeight="1">
      <c r="A33" s="302" t="s">
        <v>171</v>
      </c>
      <c r="B33" s="303"/>
      <c r="C33" s="303"/>
      <c r="D33" s="303"/>
      <c r="E33" s="303"/>
      <c r="F33" s="303"/>
      <c r="G33" s="303"/>
      <c r="H33" s="303"/>
      <c r="I33" s="304" t="s">
        <v>280</v>
      </c>
      <c r="J33" s="305"/>
      <c r="K33" s="306"/>
      <c r="L33" s="307"/>
      <c r="M33" s="96">
        <f>IF(I33="Gering",0.2,IF(I33="Mässig",0.4,IF(I33="Stark",0.6,0.2)))</f>
        <v>0.4</v>
      </c>
      <c r="N33" s="308" t="str">
        <f t="shared" si="2"/>
        <v/>
      </c>
      <c r="O33" s="309"/>
    </row>
    <row r="34" spans="1:15" s="12" customFormat="1" ht="14.45" customHeight="1">
      <c r="A34" s="302" t="s">
        <v>124</v>
      </c>
      <c r="B34" s="303"/>
      <c r="C34" s="303"/>
      <c r="D34" s="303"/>
      <c r="E34" s="303"/>
      <c r="F34" s="303"/>
      <c r="G34" s="303"/>
      <c r="H34" s="303"/>
      <c r="I34" s="304" t="s">
        <v>280</v>
      </c>
      <c r="J34" s="305"/>
      <c r="K34" s="306"/>
      <c r="L34" s="307"/>
      <c r="M34" s="96">
        <f>IF(I34="Gering",0.2,IF(I34="Mässig",0.4,IF(I34="Stark",0.6,0.2)))</f>
        <v>0.4</v>
      </c>
      <c r="N34" s="308" t="str">
        <f t="shared" si="2"/>
        <v/>
      </c>
      <c r="O34" s="309"/>
    </row>
    <row r="35" spans="1:15" s="12" customFormat="1" ht="14.45" customHeight="1">
      <c r="A35" s="302" t="s">
        <v>172</v>
      </c>
      <c r="B35" s="303"/>
      <c r="C35" s="303"/>
      <c r="D35" s="303"/>
      <c r="E35" s="303"/>
      <c r="F35" s="303"/>
      <c r="G35" s="303"/>
      <c r="H35" s="303"/>
      <c r="I35" s="304" t="s">
        <v>280</v>
      </c>
      <c r="J35" s="305"/>
      <c r="K35" s="306"/>
      <c r="L35" s="307"/>
      <c r="M35" s="96">
        <v>0.6</v>
      </c>
      <c r="N35" s="308" t="str">
        <f>IF(ISNUMBER(K35),K35*M35,"")</f>
        <v/>
      </c>
      <c r="O35" s="309"/>
    </row>
    <row r="36" spans="1:15" s="12" customFormat="1" ht="14.45" customHeight="1">
      <c r="A36" s="302" t="s">
        <v>173</v>
      </c>
      <c r="B36" s="303"/>
      <c r="C36" s="303"/>
      <c r="D36" s="303"/>
      <c r="E36" s="303"/>
      <c r="F36" s="303"/>
      <c r="G36" s="303"/>
      <c r="H36" s="303"/>
      <c r="I36" s="304" t="s">
        <v>280</v>
      </c>
      <c r="J36" s="305"/>
      <c r="K36" s="306"/>
      <c r="L36" s="307"/>
      <c r="M36" s="96">
        <v>0.2</v>
      </c>
      <c r="N36" s="308" t="str">
        <f>IF(ISNUMBER(K36),K36*M36,"")</f>
        <v/>
      </c>
      <c r="O36" s="309"/>
    </row>
    <row r="37" spans="1:15" s="12" customFormat="1" ht="6.95" customHeight="1">
      <c r="A37" s="183"/>
      <c r="B37" s="184"/>
      <c r="C37" s="184"/>
      <c r="D37" s="184"/>
      <c r="E37" s="184"/>
      <c r="F37" s="184"/>
      <c r="G37" s="184"/>
      <c r="H37" s="184"/>
      <c r="I37" s="184"/>
      <c r="J37" s="184"/>
      <c r="K37" s="185"/>
      <c r="L37" s="185"/>
      <c r="M37" s="186"/>
      <c r="N37" s="185"/>
      <c r="O37" s="187"/>
    </row>
    <row r="38" spans="1:15" s="12" customFormat="1" ht="14.45" customHeight="1">
      <c r="A38" s="181" t="s">
        <v>123</v>
      </c>
      <c r="B38" s="182"/>
      <c r="C38" s="182"/>
      <c r="D38" s="182"/>
      <c r="E38" s="182"/>
      <c r="F38" s="182"/>
      <c r="G38" s="182"/>
      <c r="H38" s="182"/>
      <c r="I38" s="182"/>
      <c r="J38" s="182"/>
      <c r="K38" s="182"/>
      <c r="L38" s="182"/>
      <c r="M38" s="182"/>
      <c r="N38" s="182"/>
      <c r="O38" s="188"/>
    </row>
    <row r="39" spans="1:15" s="12" customFormat="1" ht="14.45" customHeight="1">
      <c r="A39" s="302" t="s">
        <v>271</v>
      </c>
      <c r="B39" s="303"/>
      <c r="C39" s="303"/>
      <c r="D39" s="303"/>
      <c r="E39" s="303"/>
      <c r="F39" s="303"/>
      <c r="G39" s="303"/>
      <c r="H39" s="303"/>
      <c r="I39" s="304" t="s">
        <v>280</v>
      </c>
      <c r="J39" s="305"/>
      <c r="K39" s="306"/>
      <c r="L39" s="307"/>
      <c r="M39" s="96">
        <v>0.2</v>
      </c>
      <c r="N39" s="308" t="str">
        <f>IF(ISNUMBER(K39),K39*M39,"")</f>
        <v/>
      </c>
      <c r="O39" s="309"/>
    </row>
    <row r="40" spans="1:15" s="12" customFormat="1" ht="14.45" customHeight="1">
      <c r="A40" s="302" t="s">
        <v>288</v>
      </c>
      <c r="B40" s="303"/>
      <c r="C40" s="303"/>
      <c r="D40" s="303"/>
      <c r="E40" s="303"/>
      <c r="F40" s="303"/>
      <c r="G40" s="303"/>
      <c r="H40" s="303"/>
      <c r="I40" s="304" t="s">
        <v>280</v>
      </c>
      <c r="J40" s="305"/>
      <c r="K40" s="306"/>
      <c r="L40" s="307"/>
      <c r="M40" s="96">
        <v>0.3</v>
      </c>
      <c r="N40" s="308" t="str">
        <f>IF(ISNUMBER(K40),K40*M40,"")</f>
        <v/>
      </c>
      <c r="O40" s="309"/>
    </row>
    <row r="41" spans="1:15" s="12" customFormat="1" ht="14.45" customHeight="1">
      <c r="A41" s="302" t="s">
        <v>270</v>
      </c>
      <c r="B41" s="303"/>
      <c r="C41" s="303"/>
      <c r="D41" s="303"/>
      <c r="E41" s="303"/>
      <c r="F41" s="303"/>
      <c r="G41" s="303"/>
      <c r="H41" s="303"/>
      <c r="I41" s="304" t="s">
        <v>280</v>
      </c>
      <c r="J41" s="305"/>
      <c r="K41" s="306"/>
      <c r="L41" s="307"/>
      <c r="M41" s="96">
        <v>0</v>
      </c>
      <c r="N41" s="308" t="str">
        <f>IF(ISNUMBER(K41),K41*M41,"")</f>
        <v/>
      </c>
      <c r="O41" s="309"/>
    </row>
    <row r="42" spans="1:15" s="12" customFormat="1" ht="6.95" customHeight="1">
      <c r="A42" s="183"/>
      <c r="B42" s="184"/>
      <c r="C42" s="184"/>
      <c r="D42" s="184"/>
      <c r="E42" s="184"/>
      <c r="F42" s="184"/>
      <c r="G42" s="184"/>
      <c r="H42" s="184"/>
      <c r="I42" s="184"/>
      <c r="J42" s="184"/>
      <c r="K42" s="185"/>
      <c r="L42" s="185"/>
      <c r="M42" s="186"/>
      <c r="N42" s="185"/>
      <c r="O42" s="187"/>
    </row>
    <row r="43" spans="1:15" s="12" customFormat="1" ht="14.45" customHeight="1">
      <c r="A43" s="181" t="s">
        <v>291</v>
      </c>
      <c r="B43" s="182"/>
      <c r="C43" s="182"/>
      <c r="D43" s="182"/>
      <c r="E43" s="182"/>
      <c r="F43" s="182"/>
      <c r="G43" s="182"/>
      <c r="H43" s="182"/>
      <c r="I43" s="182"/>
      <c r="J43" s="182"/>
      <c r="K43" s="182"/>
      <c r="L43" s="182"/>
      <c r="M43" s="182"/>
      <c r="N43" s="182"/>
      <c r="O43" s="188"/>
    </row>
    <row r="44" spans="1:15" s="12" customFormat="1" ht="14.45" customHeight="1">
      <c r="A44" s="312"/>
      <c r="B44" s="313"/>
      <c r="C44" s="313"/>
      <c r="D44" s="313"/>
      <c r="E44" s="313"/>
      <c r="F44" s="313"/>
      <c r="G44" s="313"/>
      <c r="H44" s="314"/>
      <c r="I44" s="304" t="s">
        <v>280</v>
      </c>
      <c r="J44" s="305"/>
      <c r="K44" s="306"/>
      <c r="L44" s="307"/>
      <c r="M44" s="97"/>
      <c r="N44" s="308" t="str">
        <f>IF(ISNUMBER(K44),K44*M44,"")</f>
        <v/>
      </c>
      <c r="O44" s="309"/>
    </row>
    <row r="45" spans="1:15" s="12" customFormat="1" ht="14.45" customHeight="1">
      <c r="A45" s="312"/>
      <c r="B45" s="313"/>
      <c r="C45" s="313"/>
      <c r="D45" s="313"/>
      <c r="E45" s="313"/>
      <c r="F45" s="313"/>
      <c r="G45" s="313"/>
      <c r="H45" s="314"/>
      <c r="I45" s="304" t="s">
        <v>280</v>
      </c>
      <c r="J45" s="305"/>
      <c r="K45" s="306"/>
      <c r="L45" s="307"/>
      <c r="M45" s="97"/>
      <c r="N45" s="308" t="str">
        <f>IF(ISNUMBER(K45),K45*M45,"")</f>
        <v/>
      </c>
      <c r="O45" s="309"/>
    </row>
    <row r="46" spans="1:15" s="12" customFormat="1" ht="14.45" customHeight="1">
      <c r="A46" s="312"/>
      <c r="B46" s="313"/>
      <c r="C46" s="313"/>
      <c r="D46" s="313"/>
      <c r="E46" s="313"/>
      <c r="F46" s="313"/>
      <c r="G46" s="313"/>
      <c r="H46" s="314"/>
      <c r="I46" s="304" t="s">
        <v>280</v>
      </c>
      <c r="J46" s="305"/>
      <c r="K46" s="306"/>
      <c r="L46" s="307"/>
      <c r="M46" s="97"/>
      <c r="N46" s="308" t="str">
        <f>IF(ISNUMBER(K46),K46*M46,"")</f>
        <v/>
      </c>
      <c r="O46" s="309"/>
    </row>
    <row r="47" spans="1:15" s="12" customFormat="1" ht="14.45" customHeight="1">
      <c r="A47" s="312"/>
      <c r="B47" s="313"/>
      <c r="C47" s="313"/>
      <c r="D47" s="313"/>
      <c r="E47" s="313"/>
      <c r="F47" s="313"/>
      <c r="G47" s="313"/>
      <c r="H47" s="314"/>
      <c r="I47" s="304" t="s">
        <v>280</v>
      </c>
      <c r="J47" s="305"/>
      <c r="K47" s="306"/>
      <c r="L47" s="307"/>
      <c r="M47" s="97"/>
      <c r="N47" s="308" t="str">
        <f>IF(ISNUMBER(K47),K47*M47,"")</f>
        <v/>
      </c>
      <c r="O47" s="309"/>
    </row>
    <row r="48" spans="1:15" s="12" customFormat="1" ht="6" customHeight="1">
      <c r="A48" s="179"/>
      <c r="B48" s="180"/>
      <c r="C48" s="164"/>
      <c r="D48" s="164"/>
      <c r="E48" s="164"/>
      <c r="F48" s="164"/>
      <c r="G48" s="164"/>
      <c r="H48" s="164"/>
      <c r="I48" s="164"/>
      <c r="J48" s="164"/>
      <c r="K48" s="180"/>
      <c r="L48" s="164"/>
      <c r="M48" s="164"/>
      <c r="N48" s="164"/>
      <c r="O48" s="191"/>
    </row>
    <row r="49" spans="1:16" s="17" customFormat="1" ht="14.45" customHeight="1">
      <c r="A49" s="223"/>
      <c r="B49" s="189"/>
      <c r="C49" s="189"/>
      <c r="D49" s="189"/>
      <c r="E49" s="189"/>
      <c r="F49" s="189"/>
      <c r="G49" s="189"/>
      <c r="H49" s="189"/>
      <c r="I49" s="310" t="s">
        <v>122</v>
      </c>
      <c r="J49" s="311"/>
      <c r="K49" s="308">
        <f>SUM(K15:L23,K26:L36,K39:L41,K44:L47)</f>
        <v>278</v>
      </c>
      <c r="L49" s="309"/>
      <c r="M49" s="190" t="str">
        <f>IF(K49="---","",IF(K49&gt;=2001,"&gt; 2000 m2 !!!",""))</f>
        <v/>
      </c>
      <c r="N49" s="308">
        <f>SUM(N15:O23,N26:O36,N39:O41,N44:O47)</f>
        <v>264.8</v>
      </c>
      <c r="O49" s="309"/>
    </row>
    <row r="50" spans="1:16" s="12" customFormat="1" ht="5.0999999999999996" customHeight="1">
      <c r="A50" s="166"/>
      <c r="B50" s="167"/>
      <c r="C50" s="168"/>
      <c r="D50" s="168"/>
      <c r="E50" s="168"/>
      <c r="F50" s="167"/>
      <c r="G50" s="167"/>
      <c r="H50" s="167"/>
      <c r="I50" s="167"/>
      <c r="J50" s="167"/>
      <c r="K50" s="167"/>
      <c r="L50" s="167"/>
      <c r="M50" s="167"/>
      <c r="N50" s="167"/>
      <c r="O50" s="169"/>
    </row>
    <row r="51" spans="1:16" s="12" customFormat="1" ht="10.15" customHeight="1">
      <c r="A51" s="164"/>
      <c r="B51" s="164"/>
      <c r="C51" s="165"/>
      <c r="D51" s="165"/>
      <c r="E51" s="165"/>
      <c r="F51" s="164"/>
      <c r="G51" s="164"/>
      <c r="H51" s="164"/>
      <c r="I51" s="164"/>
      <c r="J51" s="164"/>
      <c r="K51" s="164"/>
      <c r="L51" s="164"/>
      <c r="M51" s="164"/>
      <c r="N51" s="164"/>
      <c r="O51" s="164"/>
    </row>
    <row r="52" spans="1:16" s="12" customFormat="1" ht="10.15" customHeight="1">
      <c r="A52" s="172"/>
      <c r="B52" s="173"/>
      <c r="C52" s="174"/>
      <c r="D52" s="174"/>
      <c r="E52" s="174"/>
      <c r="F52" s="173"/>
      <c r="G52" s="173"/>
      <c r="H52" s="173"/>
      <c r="I52" s="173"/>
      <c r="J52" s="173"/>
      <c r="K52" s="173"/>
      <c r="L52" s="173"/>
      <c r="M52" s="173"/>
      <c r="N52" s="173"/>
      <c r="O52" s="175"/>
    </row>
    <row r="53" spans="1:16" s="12" customFormat="1" ht="14.45" customHeight="1">
      <c r="A53" s="192" t="s">
        <v>257</v>
      </c>
      <c r="B53" s="164"/>
      <c r="C53" s="164"/>
      <c r="D53" s="164"/>
      <c r="E53" s="164"/>
      <c r="F53" s="164" t="s">
        <v>272</v>
      </c>
      <c r="G53" s="164"/>
      <c r="H53" s="164"/>
      <c r="I53" s="235"/>
      <c r="J53" s="155"/>
      <c r="K53" s="319" t="str">
        <f>Berechnung_Versickerung!B9</f>
        <v>Wartau</v>
      </c>
      <c r="L53" s="319"/>
      <c r="M53" s="194"/>
      <c r="N53" s="193"/>
      <c r="O53" s="214"/>
      <c r="P53" s="87"/>
    </row>
    <row r="54" spans="1:16" s="12" customFormat="1" ht="14.45" customHeight="1">
      <c r="A54" s="223"/>
      <c r="B54" s="189"/>
      <c r="C54" s="205"/>
      <c r="D54" s="205"/>
      <c r="E54" s="164"/>
      <c r="F54" s="164"/>
      <c r="G54" s="164"/>
      <c r="H54" s="164"/>
      <c r="I54" s="164"/>
      <c r="J54" s="155"/>
      <c r="K54" s="164"/>
      <c r="L54" s="22"/>
      <c r="M54" s="164"/>
      <c r="N54" s="164"/>
      <c r="O54" s="191"/>
      <c r="P54" s="87"/>
    </row>
    <row r="55" spans="1:16" s="12" customFormat="1" ht="14.45" customHeight="1">
      <c r="A55" s="210" t="s">
        <v>121</v>
      </c>
      <c r="B55" s="193"/>
      <c r="C55" s="205"/>
      <c r="D55" s="205"/>
      <c r="E55" s="203" t="s">
        <v>254</v>
      </c>
      <c r="F55" s="155"/>
      <c r="G55" s="224"/>
      <c r="H55" s="224"/>
      <c r="I55" s="155"/>
      <c r="J55" s="155" t="s">
        <v>667</v>
      </c>
      <c r="K55" s="155"/>
      <c r="L55" s="98">
        <f>IF(K49=0,"---",IF(N49/K49&lt;=Berechnung_Versickerung!B13,"---",Berechnung_Versickerung!B30))</f>
        <v>17.5</v>
      </c>
      <c r="M55" s="155" t="s">
        <v>112</v>
      </c>
      <c r="N55" s="233" t="str">
        <f>IF(L55="---","",IF(L55&gt;=120,"&gt; 120 min !!!",""))</f>
        <v/>
      </c>
      <c r="O55" s="191"/>
    </row>
    <row r="56" spans="1:16" s="12" customFormat="1" ht="14.45" customHeight="1">
      <c r="A56" s="206"/>
      <c r="B56" s="193"/>
      <c r="C56" s="207"/>
      <c r="D56" s="207"/>
      <c r="E56" s="155"/>
      <c r="F56" s="155"/>
      <c r="G56" s="224"/>
      <c r="H56" s="224"/>
      <c r="I56" s="155"/>
      <c r="J56" s="246" t="s">
        <v>666</v>
      </c>
      <c r="K56" s="218"/>
      <c r="L56" s="99">
        <f>IF(K49=0,"---",IF(N49/K49&lt;=Berechnung_Versickerung!B13,"---",Berechnung_Versickerung!E30))</f>
        <v>219.70145905000001</v>
      </c>
      <c r="M56" s="155" t="s">
        <v>118</v>
      </c>
      <c r="N56" s="164"/>
      <c r="O56" s="191"/>
      <c r="P56" s="87"/>
    </row>
    <row r="57" spans="1:16" s="12" customFormat="1" ht="14.45" customHeight="1">
      <c r="A57" s="210"/>
      <c r="B57" s="193"/>
      <c r="C57" s="207"/>
      <c r="D57" s="155"/>
      <c r="E57" s="155"/>
      <c r="F57" s="203"/>
      <c r="G57" s="155"/>
      <c r="H57" s="155"/>
      <c r="I57" s="155"/>
      <c r="J57" s="155"/>
      <c r="K57" s="155"/>
      <c r="L57" s="7"/>
      <c r="M57" s="155"/>
      <c r="N57" s="164"/>
      <c r="O57" s="191"/>
      <c r="P57" s="87"/>
    </row>
    <row r="58" spans="1:16" s="12" customFormat="1" ht="14.45" customHeight="1">
      <c r="A58" s="250" t="s">
        <v>722</v>
      </c>
      <c r="B58" s="251"/>
      <c r="C58" s="252"/>
      <c r="D58" s="253"/>
      <c r="E58" s="113">
        <v>2</v>
      </c>
      <c r="F58" s="249" t="s">
        <v>255</v>
      </c>
      <c r="G58" s="155"/>
      <c r="H58" s="155"/>
      <c r="I58" s="155"/>
      <c r="J58" s="155"/>
      <c r="K58" s="201" t="s">
        <v>662</v>
      </c>
      <c r="L58" s="100">
        <f>IF(K49=0,"---",IF(N49/K49&lt;=Berechnung_Versickerung!B13,"---",Berechnung_Versickerung!F30))</f>
        <v>5.817694635644</v>
      </c>
      <c r="M58" s="155" t="s">
        <v>117</v>
      </c>
      <c r="N58" s="234" t="str">
        <f>IF(L58="---","",IF(ROUND(L59,1)&gt;ROUND(L58,1),"Sickermenge &gt;Zulauf !",""))</f>
        <v/>
      </c>
      <c r="O58" s="161"/>
      <c r="P58" s="87"/>
    </row>
    <row r="59" spans="1:16" s="12" customFormat="1" ht="14.45" customHeight="1">
      <c r="A59" s="250" t="s">
        <v>723</v>
      </c>
      <c r="B59" s="251"/>
      <c r="C59" s="252"/>
      <c r="D59" s="253"/>
      <c r="E59" s="114">
        <v>50</v>
      </c>
      <c r="F59" s="249" t="s">
        <v>256</v>
      </c>
      <c r="G59" s="155"/>
      <c r="H59" s="155"/>
      <c r="I59" s="155"/>
      <c r="J59" s="155"/>
      <c r="K59" s="201" t="s">
        <v>721</v>
      </c>
      <c r="L59" s="100">
        <f>Berechnung_Versickerung!B19</f>
        <v>1.6666666666666667</v>
      </c>
      <c r="M59" s="155" t="s">
        <v>117</v>
      </c>
      <c r="N59" s="203"/>
      <c r="O59" s="161"/>
    </row>
    <row r="60" spans="1:16" s="12" customFormat="1" ht="14.45" customHeight="1">
      <c r="A60" s="206"/>
      <c r="B60" s="193"/>
      <c r="C60" s="193"/>
      <c r="D60" s="193"/>
      <c r="E60" s="193"/>
      <c r="F60" s="193"/>
      <c r="G60" s="155"/>
      <c r="H60" s="193"/>
      <c r="I60" s="247"/>
      <c r="J60" s="247"/>
      <c r="K60" s="248"/>
      <c r="L60" s="155"/>
      <c r="M60" s="155"/>
      <c r="N60" s="155"/>
      <c r="O60" s="191"/>
    </row>
    <row r="61" spans="1:16" s="12" customFormat="1" ht="14.45" customHeight="1" thickBot="1">
      <c r="A61" s="206"/>
      <c r="B61" s="193"/>
      <c r="C61" s="207"/>
      <c r="D61" s="207"/>
      <c r="E61" s="155"/>
      <c r="F61" s="155"/>
      <c r="G61" s="155"/>
      <c r="H61" s="193"/>
      <c r="I61" s="155"/>
      <c r="J61" s="155"/>
      <c r="K61" s="155"/>
      <c r="L61" s="155"/>
      <c r="M61" s="155"/>
      <c r="N61" s="155"/>
      <c r="O61" s="191"/>
    </row>
    <row r="62" spans="1:16" s="17" customFormat="1" ht="20.100000000000001" customHeight="1">
      <c r="A62" s="102" t="s">
        <v>725</v>
      </c>
      <c r="B62" s="103"/>
      <c r="C62" s="104"/>
      <c r="D62" s="104"/>
      <c r="E62" s="104"/>
      <c r="F62" s="105">
        <f>IF(K49=0,0,IF(IF(N49/K49&lt;=Berechnung_Versickerung!B13,0,IF(L58&lt;L59,0,ROUND(Berechnung_Versickerung!I30,1)))&lt;0.5,0,IF(IF(N49/K49&lt;=Berechnung_Versickerung!B13,0,IF(L58&lt;L59,0,ROUND(Berechnung_Versickerung!I30,1)))&lt;1,1,IF(N49/K49&lt;=Berechnung_Versickerung!B13,0,IF(L58&lt;L59,0,ROUND(Berechnung_Versickerung!I30,1))))))</f>
        <v>4.4000000000000004</v>
      </c>
      <c r="G62" s="106" t="s">
        <v>113</v>
      </c>
      <c r="H62" s="193"/>
      <c r="I62" s="16"/>
      <c r="J62" s="16"/>
      <c r="K62" s="16"/>
      <c r="L62" s="16"/>
      <c r="M62" s="16"/>
      <c r="N62" s="16"/>
      <c r="O62" s="18"/>
    </row>
    <row r="63" spans="1:16" s="17" customFormat="1" ht="20.100000000000001" customHeight="1" thickBot="1">
      <c r="A63" s="107" t="s">
        <v>665</v>
      </c>
      <c r="B63" s="108"/>
      <c r="C63" s="109"/>
      <c r="D63" s="109"/>
      <c r="E63" s="109"/>
      <c r="F63" s="110">
        <f>IF(F62=0,0,F62*1000/L59/60)</f>
        <v>44</v>
      </c>
      <c r="G63" s="111" t="s">
        <v>112</v>
      </c>
      <c r="H63" s="193"/>
      <c r="I63" s="16"/>
      <c r="J63" s="16"/>
      <c r="K63" s="16"/>
      <c r="L63" s="16"/>
      <c r="M63" s="16"/>
      <c r="N63" s="16"/>
      <c r="O63" s="18"/>
    </row>
    <row r="64" spans="1:16" s="12" customFormat="1" ht="14.45" customHeight="1">
      <c r="A64" s="236"/>
      <c r="B64" s="162"/>
      <c r="C64" s="207"/>
      <c r="D64" s="207"/>
      <c r="E64" s="155"/>
      <c r="F64" s="155"/>
      <c r="G64" s="155"/>
      <c r="H64" s="155"/>
      <c r="I64" s="7"/>
      <c r="J64" s="7"/>
      <c r="K64" s="7"/>
      <c r="L64" s="7"/>
      <c r="M64" s="7"/>
      <c r="N64" s="7"/>
      <c r="O64" s="14"/>
    </row>
    <row r="65" spans="1:15" s="12" customFormat="1" ht="14.45" customHeight="1">
      <c r="A65" s="237" t="s">
        <v>266</v>
      </c>
      <c r="B65" s="162"/>
      <c r="C65" s="209"/>
      <c r="D65" s="209"/>
      <c r="E65" s="193"/>
      <c r="F65" s="193"/>
      <c r="G65" s="193"/>
      <c r="H65" s="155"/>
      <c r="I65" s="7"/>
      <c r="J65" s="7"/>
      <c r="K65" s="7"/>
      <c r="L65" s="7"/>
      <c r="M65" s="7"/>
      <c r="N65" s="7"/>
      <c r="O65" s="14"/>
    </row>
    <row r="66" spans="1:15" s="12" customFormat="1" ht="14.45" customHeight="1">
      <c r="A66" s="238"/>
      <c r="B66" s="162"/>
      <c r="C66" s="209"/>
      <c r="D66" s="209"/>
      <c r="E66" s="193"/>
      <c r="F66" s="193"/>
      <c r="G66" s="193"/>
      <c r="H66" s="155"/>
      <c r="I66" s="7"/>
      <c r="J66" s="7"/>
      <c r="K66" s="7"/>
      <c r="L66" s="7"/>
      <c r="M66" s="7"/>
      <c r="N66" s="7"/>
      <c r="O66" s="14"/>
    </row>
    <row r="67" spans="1:15" s="12" customFormat="1" ht="14.45" customHeight="1">
      <c r="A67" s="254" t="s">
        <v>258</v>
      </c>
      <c r="B67" s="255"/>
      <c r="C67" s="252"/>
      <c r="D67" s="252"/>
      <c r="E67" s="256"/>
      <c r="F67" s="256"/>
      <c r="G67" s="193"/>
      <c r="H67" s="155"/>
      <c r="I67" s="7"/>
      <c r="J67" s="7"/>
      <c r="K67" s="7"/>
      <c r="L67" s="7"/>
      <c r="M67" s="7"/>
      <c r="N67" s="7"/>
      <c r="O67" s="14"/>
    </row>
    <row r="68" spans="1:15" s="12" customFormat="1" ht="14.45" customHeight="1">
      <c r="A68" s="254" t="s">
        <v>259</v>
      </c>
      <c r="B68" s="255"/>
      <c r="C68" s="252"/>
      <c r="D68" s="144">
        <f>ROUND(F62*1/0.3,0)</f>
        <v>15</v>
      </c>
      <c r="E68" s="258" t="s">
        <v>724</v>
      </c>
      <c r="F68" s="259" t="s">
        <v>260</v>
      </c>
      <c r="G68" s="193"/>
      <c r="H68" s="155"/>
      <c r="I68" s="7"/>
      <c r="J68" s="7"/>
      <c r="K68" s="7"/>
      <c r="L68" s="7"/>
      <c r="M68" s="7"/>
      <c r="N68" s="7"/>
      <c r="O68" s="14"/>
    </row>
    <row r="69" spans="1:15" s="12" customFormat="1" ht="14.45" customHeight="1">
      <c r="A69" s="254" t="s">
        <v>261</v>
      </c>
      <c r="B69" s="255"/>
      <c r="C69" s="252"/>
      <c r="D69" s="143">
        <f>F62</f>
        <v>4.4000000000000004</v>
      </c>
      <c r="E69" s="258" t="s">
        <v>724</v>
      </c>
      <c r="F69" s="259" t="s">
        <v>262</v>
      </c>
      <c r="G69" s="193"/>
      <c r="H69" s="155"/>
      <c r="I69" s="7"/>
      <c r="J69" s="7"/>
      <c r="K69" s="7"/>
      <c r="L69" s="7"/>
      <c r="M69" s="7"/>
      <c r="N69" s="7"/>
      <c r="O69" s="14"/>
    </row>
    <row r="70" spans="1:15" s="12" customFormat="1" ht="14.45" customHeight="1">
      <c r="A70" s="257"/>
      <c r="B70" s="255"/>
      <c r="C70" s="255"/>
      <c r="D70" s="94"/>
      <c r="E70" s="256"/>
      <c r="F70" s="259" t="s">
        <v>263</v>
      </c>
      <c r="G70" s="193"/>
      <c r="H70" s="155"/>
      <c r="I70" s="7"/>
      <c r="J70" s="7"/>
      <c r="K70" s="7"/>
      <c r="L70" s="7"/>
      <c r="M70" s="7"/>
      <c r="N70" s="7"/>
      <c r="O70" s="14"/>
    </row>
    <row r="71" spans="1:15" s="12" customFormat="1" ht="14.45" customHeight="1">
      <c r="A71" s="254" t="s">
        <v>264</v>
      </c>
      <c r="B71" s="255"/>
      <c r="C71" s="252"/>
      <c r="D71" s="101">
        <f>IF(E59=0,0,F62/E59)</f>
        <v>8.8000000000000009E-2</v>
      </c>
      <c r="E71" s="260" t="s">
        <v>276</v>
      </c>
      <c r="F71" s="259" t="s">
        <v>265</v>
      </c>
      <c r="G71" s="193"/>
      <c r="H71" s="155"/>
      <c r="I71" s="7"/>
      <c r="J71" s="7"/>
      <c r="K71" s="7"/>
      <c r="L71" s="7"/>
      <c r="M71" s="7"/>
      <c r="N71" s="7"/>
      <c r="O71" s="14"/>
    </row>
    <row r="72" spans="1:15" s="12" customFormat="1" ht="14.45" customHeight="1">
      <c r="A72" s="170"/>
      <c r="B72" s="162"/>
      <c r="C72" s="162"/>
      <c r="D72" s="162"/>
      <c r="E72" s="162"/>
      <c r="F72" s="162"/>
      <c r="G72" s="162"/>
      <c r="H72" s="155"/>
      <c r="I72" s="155"/>
      <c r="J72" s="155"/>
      <c r="K72" s="155"/>
      <c r="L72" s="155"/>
      <c r="M72" s="155"/>
      <c r="N72" s="155"/>
      <c r="O72" s="191"/>
    </row>
    <row r="73" spans="1:15" s="12" customFormat="1" ht="14.45" customHeight="1">
      <c r="A73" s="170"/>
      <c r="B73" s="162"/>
      <c r="C73" s="207"/>
      <c r="D73" s="207"/>
      <c r="E73" s="155"/>
      <c r="F73" s="155"/>
      <c r="G73" s="155"/>
      <c r="H73" s="155"/>
      <c r="I73" s="155"/>
      <c r="J73" s="155"/>
      <c r="K73" s="155"/>
      <c r="L73" s="155"/>
      <c r="M73" s="155"/>
      <c r="N73" s="155"/>
      <c r="O73" s="191"/>
    </row>
    <row r="74" spans="1:15" s="12" customFormat="1" ht="5.0999999999999996" customHeight="1">
      <c r="A74" s="243"/>
      <c r="B74" s="244"/>
      <c r="C74" s="229"/>
      <c r="D74" s="229"/>
      <c r="E74" s="230"/>
      <c r="F74" s="230"/>
      <c r="G74" s="230"/>
      <c r="H74" s="230"/>
      <c r="I74" s="230"/>
      <c r="J74" s="230"/>
      <c r="K74" s="230"/>
      <c r="L74" s="230"/>
      <c r="M74" s="230"/>
      <c r="N74" s="230"/>
      <c r="O74" s="169"/>
    </row>
    <row r="75" spans="1:15">
      <c r="A75" s="231"/>
      <c r="B75" s="231"/>
      <c r="C75" s="231"/>
      <c r="D75" s="231"/>
      <c r="E75" s="231"/>
      <c r="F75" s="231"/>
      <c r="G75" s="231"/>
      <c r="H75" s="231"/>
      <c r="I75" s="231"/>
      <c r="J75" s="231"/>
      <c r="K75" s="231"/>
      <c r="L75" s="231"/>
      <c r="M75" s="231"/>
      <c r="N75" s="231"/>
      <c r="O75" s="231"/>
    </row>
    <row r="76" spans="1:15">
      <c r="A76" s="86"/>
      <c r="B76" s="162" t="s">
        <v>105</v>
      </c>
      <c r="C76" s="162"/>
      <c r="D76" s="162"/>
      <c r="E76" s="162"/>
      <c r="F76" s="115"/>
      <c r="G76" s="9" t="s">
        <v>104</v>
      </c>
      <c r="H76" s="162"/>
      <c r="I76" s="162"/>
      <c r="J76" s="162"/>
      <c r="K76" s="162"/>
      <c r="L76" s="162"/>
      <c r="M76" s="162"/>
      <c r="N76" s="162"/>
      <c r="O76" s="162"/>
    </row>
    <row r="77" spans="1:15">
      <c r="A77" s="162"/>
      <c r="B77" s="162"/>
      <c r="C77" s="162"/>
      <c r="D77" s="162"/>
      <c r="E77" s="162"/>
      <c r="F77" s="162"/>
      <c r="G77" s="162"/>
      <c r="H77" s="162"/>
      <c r="I77" s="162"/>
      <c r="J77" s="162"/>
      <c r="K77" s="162"/>
      <c r="L77" s="162"/>
      <c r="M77" s="162"/>
      <c r="N77" s="162"/>
      <c r="O77" s="162"/>
    </row>
    <row r="78" spans="1:15">
      <c r="A78" s="162"/>
      <c r="B78" s="162"/>
      <c r="C78" s="162"/>
      <c r="D78" s="162"/>
      <c r="E78" s="162"/>
      <c r="F78" s="162"/>
      <c r="G78" s="162"/>
      <c r="H78" s="162"/>
      <c r="I78" s="162"/>
      <c r="J78" s="162"/>
      <c r="K78" s="162"/>
      <c r="L78" s="162"/>
      <c r="M78" s="162"/>
      <c r="N78" s="162"/>
      <c r="O78" s="162"/>
    </row>
  </sheetData>
  <sheetProtection algorithmName="SHA-512" hashValue="QQ2CXw6DnHRmfXByVO1BKmBZO6EzQlbrlhJcvxcrJ7HHhbGy6OZkMyjH7kUgMUeFxV9a8mRIe8zlw3PdHLEkYA==" saltValue="Y+G5DVKZaHsTzUENUF/XuQ==" spinCount="100000" sheet="1" selectLockedCells="1"/>
  <mergeCells count="123">
    <mergeCell ref="C4:F4"/>
    <mergeCell ref="A46:H46"/>
    <mergeCell ref="A47:H47"/>
    <mergeCell ref="A3:B3"/>
    <mergeCell ref="A4:B4"/>
    <mergeCell ref="A5:B5"/>
    <mergeCell ref="L4:O4"/>
    <mergeCell ref="L5:O5"/>
    <mergeCell ref="K39:L39"/>
    <mergeCell ref="N39:O39"/>
    <mergeCell ref="A15:J15"/>
    <mergeCell ref="K15:L15"/>
    <mergeCell ref="N15:O15"/>
    <mergeCell ref="A6:B6"/>
    <mergeCell ref="A7:B7"/>
    <mergeCell ref="K12:L12"/>
    <mergeCell ref="N12:O12"/>
    <mergeCell ref="L6:O6"/>
    <mergeCell ref="A18:J18"/>
    <mergeCell ref="K18:L18"/>
    <mergeCell ref="A16:J16"/>
    <mergeCell ref="K16:L16"/>
    <mergeCell ref="N16:O16"/>
    <mergeCell ref="A17:J17"/>
    <mergeCell ref="K26:L26"/>
    <mergeCell ref="N26:O26"/>
    <mergeCell ref="A19:J19"/>
    <mergeCell ref="K19:L19"/>
    <mergeCell ref="N19:O19"/>
    <mergeCell ref="A20:J20"/>
    <mergeCell ref="K20:L20"/>
    <mergeCell ref="N20:O20"/>
    <mergeCell ref="A23:J23"/>
    <mergeCell ref="K23:L23"/>
    <mergeCell ref="N23:O23"/>
    <mergeCell ref="K13:L14"/>
    <mergeCell ref="M13:M14"/>
    <mergeCell ref="N13:O14"/>
    <mergeCell ref="A21:J21"/>
    <mergeCell ref="K21:L21"/>
    <mergeCell ref="N21:O21"/>
    <mergeCell ref="A22:J22"/>
    <mergeCell ref="K22:L22"/>
    <mergeCell ref="N22:O22"/>
    <mergeCell ref="N18:O18"/>
    <mergeCell ref="N17:O17"/>
    <mergeCell ref="K17:L17"/>
    <mergeCell ref="K31:L31"/>
    <mergeCell ref="N31:O31"/>
    <mergeCell ref="K32:L32"/>
    <mergeCell ref="N32:O32"/>
    <mergeCell ref="K33:L33"/>
    <mergeCell ref="N33:O33"/>
    <mergeCell ref="K34:L34"/>
    <mergeCell ref="N34:O34"/>
    <mergeCell ref="K27:L27"/>
    <mergeCell ref="N27:O27"/>
    <mergeCell ref="K28:L28"/>
    <mergeCell ref="N28:O28"/>
    <mergeCell ref="K29:L29"/>
    <mergeCell ref="N29:O29"/>
    <mergeCell ref="K30:L30"/>
    <mergeCell ref="N30:O30"/>
    <mergeCell ref="A33:H33"/>
    <mergeCell ref="I33:J33"/>
    <mergeCell ref="A34:H34"/>
    <mergeCell ref="I34:J34"/>
    <mergeCell ref="K35:L35"/>
    <mergeCell ref="N35:O35"/>
    <mergeCell ref="K36:L36"/>
    <mergeCell ref="N36:O36"/>
    <mergeCell ref="A35:H35"/>
    <mergeCell ref="I35:J35"/>
    <mergeCell ref="A36:H36"/>
    <mergeCell ref="I36:J36"/>
    <mergeCell ref="C5:F5"/>
    <mergeCell ref="C6:F6"/>
    <mergeCell ref="C7:F7"/>
    <mergeCell ref="K53:L53"/>
    <mergeCell ref="K47:L47"/>
    <mergeCell ref="I25:J25"/>
    <mergeCell ref="A26:H26"/>
    <mergeCell ref="I26:J26"/>
    <mergeCell ref="A27:H27"/>
    <mergeCell ref="I27:J27"/>
    <mergeCell ref="A28:H28"/>
    <mergeCell ref="I28:J28"/>
    <mergeCell ref="A29:H29"/>
    <mergeCell ref="I29:J29"/>
    <mergeCell ref="K41:L41"/>
    <mergeCell ref="L7:O7"/>
    <mergeCell ref="L8:O8"/>
    <mergeCell ref="A30:H30"/>
    <mergeCell ref="I30:J30"/>
    <mergeCell ref="A31:H31"/>
    <mergeCell ref="I31:J31"/>
    <mergeCell ref="A32:H32"/>
    <mergeCell ref="I32:J32"/>
    <mergeCell ref="I39:J39"/>
    <mergeCell ref="A40:H40"/>
    <mergeCell ref="I40:J40"/>
    <mergeCell ref="K40:L40"/>
    <mergeCell ref="A41:H41"/>
    <mergeCell ref="I41:J41"/>
    <mergeCell ref="A39:H39"/>
    <mergeCell ref="N47:O47"/>
    <mergeCell ref="I49:J49"/>
    <mergeCell ref="K49:L49"/>
    <mergeCell ref="N49:O49"/>
    <mergeCell ref="K44:L44"/>
    <mergeCell ref="N44:O44"/>
    <mergeCell ref="K46:L46"/>
    <mergeCell ref="N46:O46"/>
    <mergeCell ref="I44:J44"/>
    <mergeCell ref="I45:J45"/>
    <mergeCell ref="I46:J46"/>
    <mergeCell ref="I47:J47"/>
    <mergeCell ref="N41:O41"/>
    <mergeCell ref="K45:L45"/>
    <mergeCell ref="N40:O40"/>
    <mergeCell ref="N45:O45"/>
    <mergeCell ref="A44:H44"/>
    <mergeCell ref="A45:H45"/>
  </mergeCells>
  <pageMargins left="0.78740157480314965" right="0.39370078740157483" top="0.82677165354330717" bottom="0.47244094488188981" header="0.19685039370078741" footer="0.19685039370078741"/>
  <pageSetup paperSize="9" scale="74" orientation="portrait" r:id="rId1"/>
  <headerFooter alignWithMargins="0">
    <oddHeader>&amp;L&amp;"Arial,Standard"&amp;10Kanton St.Gallen
Bau- und Umweltdepartement
&amp;"Arial,Fett"Amt für Wasser und Energie&amp;C&amp;"Arial,Fett"&amp;16Dimensionierung 
Versickerungsanlagen&amp;R&amp;G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4577" r:id="rId5" name="Drop Down 1">
              <controlPr defaultSize="0" autoLine="0" autoPict="0">
                <anchor moveWithCells="1">
                  <from>
                    <xdr:col>2</xdr:col>
                    <xdr:colOff>0</xdr:colOff>
                    <xdr:row>3</xdr:row>
                    <xdr:rowOff>0</xdr:rowOff>
                  </from>
                  <to>
                    <xdr:col>6</xdr:col>
                    <xdr:colOff>19050</xdr:colOff>
                    <xdr:row>4</xdr:row>
                    <xdr:rowOff>0</xdr:rowOff>
                  </to>
                </anchor>
              </controlPr>
            </control>
          </mc:Choice>
        </mc:AlternateContent>
        <mc:AlternateContent xmlns:mc="http://schemas.openxmlformats.org/markup-compatibility/2006">
          <mc:Choice Requires="x14">
            <control shapeId="24578" r:id="rId6" name="Drop Down 5">
              <controlPr defaultSize="0" autoLine="0" autoPict="0">
                <anchor moveWithCells="1">
                  <from>
                    <xdr:col>1</xdr:col>
                    <xdr:colOff>514350</xdr:colOff>
                    <xdr:row>54</xdr:row>
                    <xdr:rowOff>0</xdr:rowOff>
                  </from>
                  <to>
                    <xdr:col>3</xdr:col>
                    <xdr:colOff>400050</xdr:colOff>
                    <xdr:row>55</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698E7EE0-5E73-40F6-9BA2-7B87BCDB8711}">
          <x14:formula1>
            <xm:f>Auswahlliste!$I$14:$I$16</xm:f>
          </x14:formula1>
          <xm:sqref>I26:J36 I44:J47 I39:I41 J40:J41</xm:sqref>
        </x14:dataValidation>
        <x14:dataValidation type="list" allowBlank="1" showInputMessage="1" showErrorMessage="1" xr:uid="{C629114B-A371-45D8-B0CE-9A3F162D0C59}">
          <x14:formula1>
            <xm:f>Berechnung_Versickerung!$Q:$Q</xm:f>
          </x14:formula1>
          <xm:sqref>C7:F7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5D3AE-ABB9-41D4-8A46-FCBB3B7EAF98}">
  <sheetPr codeName="Tabelle5"/>
  <dimension ref="A1:E813"/>
  <sheetViews>
    <sheetView topLeftCell="A778" workbookViewId="0">
      <selection activeCell="E805" sqref="E805"/>
    </sheetView>
  </sheetViews>
  <sheetFormatPr baseColWidth="10" defaultRowHeight="15"/>
  <cols>
    <col min="1" max="1" width="21.28515625" customWidth="1"/>
    <col min="2" max="2" width="14.42578125" customWidth="1"/>
    <col min="3" max="3" width="41.28515625" customWidth="1"/>
    <col min="5" max="5" width="16.7109375" customWidth="1"/>
  </cols>
  <sheetData>
    <row r="1" spans="1:5">
      <c r="A1" t="s">
        <v>1</v>
      </c>
      <c r="B1" t="s">
        <v>710</v>
      </c>
      <c r="C1" t="s">
        <v>711</v>
      </c>
      <c r="D1" t="s">
        <v>714</v>
      </c>
      <c r="E1" t="s">
        <v>712</v>
      </c>
    </row>
    <row r="2" spans="1:5">
      <c r="A2" t="s">
        <v>52</v>
      </c>
      <c r="B2" s="31" t="str">
        <f>"Gemeinde"&amp;_xlfn.XLOOKUP(A2,Auswahlliste!E:E,Auswahlliste!D:D,FALSE,FALSE)</f>
        <v>Gemeinde1</v>
      </c>
      <c r="C2" s="151" t="s">
        <v>715</v>
      </c>
      <c r="D2" s="31" t="s">
        <v>292</v>
      </c>
      <c r="E2" s="136">
        <v>0.15</v>
      </c>
    </row>
    <row r="3" spans="1:5">
      <c r="A3" t="s">
        <v>52</v>
      </c>
      <c r="B3" s="127" t="str">
        <f>"Gemeinde"&amp;_xlfn.XLOOKUP(A3,Auswahlliste!E:E,Auswahlliste!D:D,FALSE,FALSE)</f>
        <v>Gemeinde1</v>
      </c>
      <c r="C3" s="129" t="s">
        <v>293</v>
      </c>
      <c r="D3" s="127" t="s">
        <v>294</v>
      </c>
      <c r="E3" s="126">
        <v>0.15</v>
      </c>
    </row>
    <row r="4" spans="1:5">
      <c r="A4" t="s">
        <v>52</v>
      </c>
      <c r="B4" s="127" t="str">
        <f>"Gemeinde"&amp;_xlfn.XLOOKUP(A4,Auswahlliste!E:E,Auswahlliste!D:D,FALSE,FALSE)</f>
        <v>Gemeinde1</v>
      </c>
      <c r="C4" s="129" t="s">
        <v>295</v>
      </c>
      <c r="D4" s="127" t="s">
        <v>296</v>
      </c>
      <c r="E4" s="126">
        <v>0.15</v>
      </c>
    </row>
    <row r="5" spans="1:5">
      <c r="A5" t="s">
        <v>52</v>
      </c>
      <c r="B5" s="127" t="str">
        <f>"Gemeinde"&amp;_xlfn.XLOOKUP(A5,Auswahlliste!E:E,Auswahlliste!D:D,FALSE,FALSE)</f>
        <v>Gemeinde1</v>
      </c>
      <c r="C5" s="129" t="s">
        <v>437</v>
      </c>
      <c r="D5" s="127" t="s">
        <v>438</v>
      </c>
      <c r="E5" s="126">
        <v>0.5</v>
      </c>
    </row>
    <row r="6" spans="1:5">
      <c r="A6" t="s">
        <v>52</v>
      </c>
      <c r="B6" s="127" t="str">
        <f>"Gemeinde"&amp;_xlfn.XLOOKUP(A6,Auswahlliste!E:E,Auswahlliste!D:D,FALSE,FALSE)</f>
        <v>Gemeinde1</v>
      </c>
      <c r="C6" s="129" t="s">
        <v>196</v>
      </c>
      <c r="D6" s="127" t="s">
        <v>297</v>
      </c>
      <c r="E6" s="126">
        <v>0.45</v>
      </c>
    </row>
    <row r="7" spans="1:5">
      <c r="A7" t="s">
        <v>52</v>
      </c>
      <c r="B7" s="127" t="str">
        <f>"Gemeinde"&amp;_xlfn.XLOOKUP(A7,Auswahlliste!E:E,Auswahlliste!D:D,FALSE,FALSE)</f>
        <v>Gemeinde1</v>
      </c>
      <c r="C7" s="129" t="s">
        <v>15</v>
      </c>
      <c r="D7" s="127" t="s">
        <v>298</v>
      </c>
      <c r="E7" s="126">
        <v>0.15</v>
      </c>
    </row>
    <row r="8" spans="1:5">
      <c r="A8" t="s">
        <v>52</v>
      </c>
      <c r="B8" s="127" t="str">
        <f>"Gemeinde"&amp;_xlfn.XLOOKUP(A8,Auswahlliste!E:E,Auswahlliste!D:D,FALSE,FALSE)</f>
        <v>Gemeinde1</v>
      </c>
      <c r="C8" s="129" t="s">
        <v>299</v>
      </c>
      <c r="D8" s="127" t="s">
        <v>300</v>
      </c>
      <c r="E8" s="126">
        <v>0.15</v>
      </c>
    </row>
    <row r="9" spans="1:5">
      <c r="A9" t="s">
        <v>52</v>
      </c>
      <c r="B9" s="127" t="str">
        <f>"Gemeinde"&amp;_xlfn.XLOOKUP(A9,Auswahlliste!E:E,Auswahlliste!D:D,FALSE,FALSE)</f>
        <v>Gemeinde1</v>
      </c>
      <c r="C9" s="129" t="s">
        <v>301</v>
      </c>
      <c r="D9" s="127" t="s">
        <v>302</v>
      </c>
      <c r="E9" s="126">
        <v>0.15</v>
      </c>
    </row>
    <row r="10" spans="1:5">
      <c r="A10" t="s">
        <v>52</v>
      </c>
      <c r="B10" s="127" t="str">
        <f>"Gemeinde"&amp;_xlfn.XLOOKUP(A10,Auswahlliste!E:E,Auswahlliste!D:D,FALSE,FALSE)</f>
        <v>Gemeinde1</v>
      </c>
      <c r="C10" s="129" t="s">
        <v>303</v>
      </c>
      <c r="D10" s="127" t="s">
        <v>304</v>
      </c>
      <c r="E10" s="126">
        <v>0.15</v>
      </c>
    </row>
    <row r="11" spans="1:5">
      <c r="A11" t="s">
        <v>52</v>
      </c>
      <c r="B11" s="127" t="str">
        <f>"Gemeinde"&amp;_xlfn.XLOOKUP(A11,Auswahlliste!E:E,Auswahlliste!D:D,FALSE,FALSE)</f>
        <v>Gemeinde1</v>
      </c>
      <c r="C11" s="129" t="s">
        <v>305</v>
      </c>
      <c r="D11" s="127" t="s">
        <v>306</v>
      </c>
      <c r="E11" s="126">
        <v>0.15</v>
      </c>
    </row>
    <row r="12" spans="1:5">
      <c r="A12" t="s">
        <v>70</v>
      </c>
      <c r="B12" s="127" t="str">
        <f>"Gemeinde"&amp;_xlfn.XLOOKUP(A12,Auswahlliste!E:E,Auswahlliste!D:D,FALSE,FALSE)</f>
        <v>Gemeinde2</v>
      </c>
      <c r="C12" s="129" t="s">
        <v>624</v>
      </c>
      <c r="D12" s="126" t="s">
        <v>622</v>
      </c>
      <c r="E12" s="126">
        <v>0.25</v>
      </c>
    </row>
    <row r="13" spans="1:5">
      <c r="A13" t="s">
        <v>70</v>
      </c>
      <c r="B13" s="127" t="str">
        <f>"Gemeinde"&amp;_xlfn.XLOOKUP(A13,Auswahlliste!E:E,Auswahlliste!D:D,FALSE,FALSE)</f>
        <v>Gemeinde2</v>
      </c>
      <c r="C13" s="151" t="s">
        <v>625</v>
      </c>
      <c r="D13" s="136" t="s">
        <v>623</v>
      </c>
      <c r="E13" s="136">
        <v>0.25</v>
      </c>
    </row>
    <row r="14" spans="1:5">
      <c r="A14" t="s">
        <v>70</v>
      </c>
      <c r="B14" s="127" t="str">
        <f>"Gemeinde"&amp;_xlfn.XLOOKUP(A14,Auswahlliste!E:E,Auswahlliste!D:D,FALSE,FALSE)</f>
        <v>Gemeinde2</v>
      </c>
      <c r="C14" s="129" t="s">
        <v>435</v>
      </c>
      <c r="D14" s="126" t="s">
        <v>367</v>
      </c>
      <c r="E14" s="126">
        <v>0.3</v>
      </c>
    </row>
    <row r="15" spans="1:5">
      <c r="A15" t="s">
        <v>70</v>
      </c>
      <c r="B15" s="127" t="str">
        <f>"Gemeinde"&amp;_xlfn.XLOOKUP(A15,Auswahlliste!E:E,Auswahlliste!D:D,FALSE,FALSE)</f>
        <v>Gemeinde2</v>
      </c>
      <c r="C15" s="129" t="s">
        <v>189</v>
      </c>
      <c r="D15" s="126" t="s">
        <v>326</v>
      </c>
      <c r="E15" s="126">
        <v>0.35</v>
      </c>
    </row>
    <row r="16" spans="1:5">
      <c r="A16" t="s">
        <v>70</v>
      </c>
      <c r="B16" s="127" t="str">
        <f>"Gemeinde"&amp;_xlfn.XLOOKUP(A16,Auswahlliste!E:E,Auswahlliste!D:D,FALSE,FALSE)</f>
        <v>Gemeinde2</v>
      </c>
      <c r="C16" s="129" t="s">
        <v>626</v>
      </c>
      <c r="D16" s="126" t="s">
        <v>297</v>
      </c>
      <c r="E16" s="126">
        <v>0.5</v>
      </c>
    </row>
    <row r="17" spans="1:5">
      <c r="A17" t="s">
        <v>70</v>
      </c>
      <c r="B17" s="127" t="str">
        <f>"Gemeinde"&amp;_xlfn.XLOOKUP(A17,Auswahlliste!E:E,Auswahlliste!D:D,FALSE,FALSE)</f>
        <v>Gemeinde2</v>
      </c>
      <c r="C17" s="129" t="s">
        <v>627</v>
      </c>
      <c r="D17" s="126" t="s">
        <v>346</v>
      </c>
      <c r="E17" s="126">
        <v>0.5</v>
      </c>
    </row>
    <row r="18" spans="1:5">
      <c r="A18" t="s">
        <v>70</v>
      </c>
      <c r="B18" s="127" t="str">
        <f>"Gemeinde"&amp;_xlfn.XLOOKUP(A18,Auswahlliste!E:E,Auswahlliste!D:D,FALSE,FALSE)</f>
        <v>Gemeinde2</v>
      </c>
      <c r="C18" s="129" t="s">
        <v>628</v>
      </c>
      <c r="D18" s="126" t="s">
        <v>332</v>
      </c>
      <c r="E18" s="126">
        <v>0.45</v>
      </c>
    </row>
    <row r="19" spans="1:5">
      <c r="A19" t="s">
        <v>70</v>
      </c>
      <c r="B19" s="127" t="str">
        <f>"Gemeinde"&amp;_xlfn.XLOOKUP(A19,Auswahlliste!E:E,Auswahlliste!D:D,FALSE,FALSE)</f>
        <v>Gemeinde2</v>
      </c>
      <c r="C19" s="129" t="s">
        <v>629</v>
      </c>
      <c r="D19" s="126" t="s">
        <v>334</v>
      </c>
      <c r="E19" s="126">
        <v>0.5</v>
      </c>
    </row>
    <row r="20" spans="1:5">
      <c r="A20" t="s">
        <v>70</v>
      </c>
      <c r="B20" s="127" t="str">
        <f>"Gemeinde"&amp;_xlfn.XLOOKUP(A20,Auswahlliste!E:E,Auswahlliste!D:D,FALSE,FALSE)</f>
        <v>Gemeinde2</v>
      </c>
      <c r="C20" s="129" t="s">
        <v>428</v>
      </c>
      <c r="D20" s="126" t="s">
        <v>371</v>
      </c>
      <c r="E20" s="126">
        <v>0.5</v>
      </c>
    </row>
    <row r="21" spans="1:5">
      <c r="A21" t="s">
        <v>70</v>
      </c>
      <c r="B21" s="127" t="str">
        <f>"Gemeinde"&amp;_xlfn.XLOOKUP(A21,Auswahlliste!E:E,Auswahlliste!D:D,FALSE,FALSE)</f>
        <v>Gemeinde2</v>
      </c>
      <c r="C21" s="129" t="s">
        <v>630</v>
      </c>
      <c r="D21" s="126" t="s">
        <v>316</v>
      </c>
      <c r="E21" s="126">
        <v>0.3</v>
      </c>
    </row>
    <row r="22" spans="1:5">
      <c r="A22" t="s">
        <v>70</v>
      </c>
      <c r="B22" s="127" t="str">
        <f>"Gemeinde"&amp;_xlfn.XLOOKUP(A22,Auswahlliste!E:E,Auswahlliste!D:D,FALSE,FALSE)</f>
        <v>Gemeinde2</v>
      </c>
      <c r="C22" s="129" t="s">
        <v>393</v>
      </c>
      <c r="D22" s="126" t="s">
        <v>451</v>
      </c>
      <c r="E22" s="126">
        <v>0.35</v>
      </c>
    </row>
    <row r="23" spans="1:5">
      <c r="A23" t="s">
        <v>70</v>
      </c>
      <c r="B23" s="127" t="str">
        <f>"Gemeinde"&amp;_xlfn.XLOOKUP(A23,Auswahlliste!E:E,Auswahlliste!D:D,FALSE,FALSE)</f>
        <v>Gemeinde2</v>
      </c>
      <c r="C23" s="129" t="s">
        <v>342</v>
      </c>
      <c r="D23" s="126" t="s">
        <v>426</v>
      </c>
      <c r="E23" s="126">
        <v>0.3</v>
      </c>
    </row>
    <row r="24" spans="1:5">
      <c r="A24" t="s">
        <v>70</v>
      </c>
      <c r="B24" s="127" t="str">
        <f>"Gemeinde"&amp;_xlfn.XLOOKUP(A24,Auswahlliste!E:E,Auswahlliste!D:D,FALSE,FALSE)</f>
        <v>Gemeinde2</v>
      </c>
      <c r="C24" s="129" t="s">
        <v>396</v>
      </c>
      <c r="D24" s="126" t="s">
        <v>322</v>
      </c>
      <c r="E24" s="126">
        <v>0.9</v>
      </c>
    </row>
    <row r="25" spans="1:5">
      <c r="A25" t="s">
        <v>45</v>
      </c>
      <c r="B25" s="127" t="str">
        <f>"Gemeinde"&amp;_xlfn.XLOOKUP(A25,Auswahlliste!E:E,Auswahlliste!D:D,FALSE,FALSE)</f>
        <v>Gemeinde4</v>
      </c>
      <c r="C25" s="129" t="s">
        <v>452</v>
      </c>
      <c r="D25" s="126" t="s">
        <v>453</v>
      </c>
      <c r="E25" s="126">
        <v>0.1</v>
      </c>
    </row>
    <row r="26" spans="1:5">
      <c r="A26" t="s">
        <v>45</v>
      </c>
      <c r="B26" s="127" t="str">
        <f>"Gemeinde"&amp;_xlfn.XLOOKUP(A26,Auswahlliste!E:E,Auswahlliste!D:D,FALSE,FALSE)</f>
        <v>Gemeinde4</v>
      </c>
      <c r="C26" s="129" t="s">
        <v>439</v>
      </c>
      <c r="D26" s="126" t="s">
        <v>375</v>
      </c>
      <c r="E26" s="126">
        <v>0.15</v>
      </c>
    </row>
    <row r="27" spans="1:5">
      <c r="A27" t="s">
        <v>45</v>
      </c>
      <c r="B27" s="127" t="str">
        <f>"Gemeinde"&amp;_xlfn.XLOOKUP(A27,Auswahlliste!E:E,Auswahlliste!D:D,FALSE,FALSE)</f>
        <v>Gemeinde4</v>
      </c>
      <c r="C27" s="129" t="s">
        <v>435</v>
      </c>
      <c r="D27" s="126" t="s">
        <v>367</v>
      </c>
      <c r="E27" s="126">
        <v>0.17499999999999999</v>
      </c>
    </row>
    <row r="28" spans="1:5">
      <c r="A28" t="s">
        <v>45</v>
      </c>
      <c r="B28" s="127" t="str">
        <f>"Gemeinde"&amp;_xlfn.XLOOKUP(A28,Auswahlliste!E:E,Auswahlliste!D:D,FALSE,FALSE)</f>
        <v>Gemeinde4</v>
      </c>
      <c r="C28" s="129" t="s">
        <v>189</v>
      </c>
      <c r="D28" s="126" t="s">
        <v>326</v>
      </c>
      <c r="E28" s="126">
        <v>0.2</v>
      </c>
    </row>
    <row r="29" spans="1:5">
      <c r="A29" t="s">
        <v>45</v>
      </c>
      <c r="B29" s="127" t="str">
        <f>"Gemeinde"&amp;_xlfn.XLOOKUP(A29,Auswahlliste!E:E,Auswahlliste!D:D,FALSE,FALSE)</f>
        <v>Gemeinde4</v>
      </c>
      <c r="C29" s="129" t="s">
        <v>190</v>
      </c>
      <c r="D29" s="126" t="s">
        <v>355</v>
      </c>
      <c r="E29" s="126">
        <v>0.22500000000000001</v>
      </c>
    </row>
    <row r="30" spans="1:5">
      <c r="A30" t="s">
        <v>45</v>
      </c>
      <c r="B30" s="127" t="str">
        <f>"Gemeinde"&amp;_xlfn.XLOOKUP(A30,Auswahlliste!E:E,Auswahlliste!D:D,FALSE,FALSE)</f>
        <v>Gemeinde4</v>
      </c>
      <c r="C30" s="133" t="s">
        <v>473</v>
      </c>
      <c r="D30" s="136" t="s">
        <v>332</v>
      </c>
      <c r="E30" s="136">
        <v>0.2</v>
      </c>
    </row>
    <row r="31" spans="1:5">
      <c r="A31" t="s">
        <v>45</v>
      </c>
      <c r="B31" s="127" t="str">
        <f>"Gemeinde"&amp;_xlfn.XLOOKUP(A31,Auswahlliste!E:E,Auswahlliste!D:D,FALSE,FALSE)</f>
        <v>Gemeinde4</v>
      </c>
      <c r="C31" s="129" t="s">
        <v>474</v>
      </c>
      <c r="D31" s="126" t="s">
        <v>334</v>
      </c>
      <c r="E31" s="126">
        <v>0.22500000000000001</v>
      </c>
    </row>
    <row r="32" spans="1:5">
      <c r="A32" t="s">
        <v>45</v>
      </c>
      <c r="B32" s="127" t="str">
        <f>"Gemeinde"&amp;_xlfn.XLOOKUP(A32,Auswahlliste!E:E,Auswahlliste!D:D,FALSE,FALSE)</f>
        <v>Gemeinde4</v>
      </c>
      <c r="C32" s="129" t="s">
        <v>475</v>
      </c>
      <c r="D32" s="126" t="s">
        <v>361</v>
      </c>
      <c r="E32" s="126">
        <v>0.22500000000000001</v>
      </c>
    </row>
    <row r="33" spans="1:5">
      <c r="A33" t="s">
        <v>45</v>
      </c>
      <c r="B33" s="127" t="str">
        <f>"Gemeinde"&amp;_xlfn.XLOOKUP(A33,Auswahlliste!E:E,Auswahlliste!D:D,FALSE,FALSE)</f>
        <v>Gemeinde4</v>
      </c>
      <c r="C33" s="129" t="s">
        <v>500</v>
      </c>
      <c r="D33" s="126" t="s">
        <v>498</v>
      </c>
      <c r="E33" s="126">
        <v>0.3</v>
      </c>
    </row>
    <row r="34" spans="1:5">
      <c r="A34" t="s">
        <v>45</v>
      </c>
      <c r="B34" s="127" t="str">
        <f>"Gemeinde"&amp;_xlfn.XLOOKUP(A34,Auswahlliste!E:E,Auswahlliste!D:D,FALSE,FALSE)</f>
        <v>Gemeinde4</v>
      </c>
      <c r="C34" s="129" t="s">
        <v>501</v>
      </c>
      <c r="D34" s="126" t="s">
        <v>429</v>
      </c>
      <c r="E34" s="126">
        <v>0.3</v>
      </c>
    </row>
    <row r="35" spans="1:5">
      <c r="A35" t="s">
        <v>45</v>
      </c>
      <c r="B35" s="127" t="str">
        <f>"Gemeinde"&amp;_xlfn.XLOOKUP(A35,Auswahlliste!E:E,Auswahlliste!D:D,FALSE,FALSE)</f>
        <v>Gemeinde4</v>
      </c>
      <c r="C35" s="129" t="s">
        <v>340</v>
      </c>
      <c r="D35" s="126" t="s">
        <v>341</v>
      </c>
      <c r="E35" s="126">
        <v>0.3</v>
      </c>
    </row>
    <row r="36" spans="1:5">
      <c r="A36" t="s">
        <v>45</v>
      </c>
      <c r="B36" s="127" t="str">
        <f>"Gemeinde"&amp;_xlfn.XLOOKUP(A36,Auswahlliste!E:E,Auswahlliste!D:D,FALSE,FALSE)</f>
        <v>Gemeinde4</v>
      </c>
      <c r="C36" s="129" t="s">
        <v>409</v>
      </c>
      <c r="D36" s="126" t="s">
        <v>499</v>
      </c>
      <c r="E36" s="126">
        <v>0.3</v>
      </c>
    </row>
    <row r="37" spans="1:5">
      <c r="A37" t="s">
        <v>45</v>
      </c>
      <c r="B37" s="127" t="str">
        <f>"Gemeinde"&amp;_xlfn.XLOOKUP(A37,Auswahlliste!E:E,Auswahlliste!D:D,FALSE,FALSE)</f>
        <v>Gemeinde4</v>
      </c>
      <c r="C37" s="129" t="s">
        <v>197</v>
      </c>
      <c r="D37" s="126" t="s">
        <v>346</v>
      </c>
      <c r="E37" s="126">
        <v>0.3</v>
      </c>
    </row>
    <row r="38" spans="1:5">
      <c r="A38" t="s">
        <v>45</v>
      </c>
      <c r="B38" s="127" t="str">
        <f>"Gemeinde"&amp;_xlfn.XLOOKUP(A38,Auswahlliste!E:E,Auswahlliste!D:D,FALSE,FALSE)</f>
        <v>Gemeinde4</v>
      </c>
      <c r="C38" s="129" t="s">
        <v>198</v>
      </c>
      <c r="D38" s="126" t="s">
        <v>314</v>
      </c>
      <c r="E38" s="126">
        <v>0.3</v>
      </c>
    </row>
    <row r="39" spans="1:5">
      <c r="A39" t="s">
        <v>45</v>
      </c>
      <c r="B39" s="127" t="str">
        <f>"Gemeinde"&amp;_xlfn.XLOOKUP(A39,Auswahlliste!E:E,Auswahlliste!D:D,FALSE,FALSE)</f>
        <v>Gemeinde4</v>
      </c>
      <c r="C39" s="129" t="s">
        <v>15</v>
      </c>
      <c r="D39" s="126" t="s">
        <v>386</v>
      </c>
      <c r="E39" s="126">
        <v>0.15</v>
      </c>
    </row>
    <row r="40" spans="1:5">
      <c r="A40" t="s">
        <v>45</v>
      </c>
      <c r="B40" s="127" t="str">
        <f>"Gemeinde"&amp;_xlfn.XLOOKUP(A40,Auswahlliste!E:E,Auswahlliste!D:D,FALSE,FALSE)</f>
        <v>Gemeinde4</v>
      </c>
      <c r="C40" s="129" t="s">
        <v>419</v>
      </c>
      <c r="D40" s="126" t="s">
        <v>481</v>
      </c>
      <c r="E40" s="126">
        <v>0.15</v>
      </c>
    </row>
    <row r="41" spans="1:5">
      <c r="A41" t="s">
        <v>64</v>
      </c>
      <c r="B41" s="127" t="str">
        <f>"Gemeinde"&amp;_xlfn.XLOOKUP(A41,Auswahlliste!E:E,Auswahlliste!D:D,FALSE,FALSE)</f>
        <v>Gemeinde5</v>
      </c>
      <c r="C41" s="129" t="s">
        <v>398</v>
      </c>
      <c r="D41" s="127" t="s">
        <v>399</v>
      </c>
      <c r="E41" s="126">
        <v>0.3</v>
      </c>
    </row>
    <row r="42" spans="1:5">
      <c r="A42" t="s">
        <v>64</v>
      </c>
      <c r="B42" s="127" t="str">
        <f>"Gemeinde"&amp;_xlfn.XLOOKUP(A42,Auswahlliste!E:E,Auswahlliste!D:D,FALSE,FALSE)</f>
        <v>Gemeinde5</v>
      </c>
      <c r="C42" s="129" t="s">
        <v>400</v>
      </c>
      <c r="D42" s="127" t="s">
        <v>401</v>
      </c>
      <c r="E42" s="126">
        <v>0.3</v>
      </c>
    </row>
    <row r="43" spans="1:5">
      <c r="A43" t="s">
        <v>64</v>
      </c>
      <c r="B43" s="127" t="str">
        <f>"Gemeinde"&amp;_xlfn.XLOOKUP(A43,Auswahlliste!E:E,Auswahlliste!D:D,FALSE,FALSE)</f>
        <v>Gemeinde5</v>
      </c>
      <c r="C43" s="129" t="s">
        <v>402</v>
      </c>
      <c r="D43" s="127" t="s">
        <v>368</v>
      </c>
      <c r="E43" s="126">
        <v>0.3</v>
      </c>
    </row>
    <row r="44" spans="1:5">
      <c r="A44" t="s">
        <v>64</v>
      </c>
      <c r="B44" s="127" t="str">
        <f>"Gemeinde"&amp;_xlfn.XLOOKUP(A44,Auswahlliste!E:E,Auswahlliste!D:D,FALSE,FALSE)</f>
        <v>Gemeinde5</v>
      </c>
      <c r="C44" s="129" t="s">
        <v>403</v>
      </c>
      <c r="D44" s="127" t="s">
        <v>404</v>
      </c>
      <c r="E44" s="126">
        <v>0.3</v>
      </c>
    </row>
    <row r="45" spans="1:5">
      <c r="A45" t="s">
        <v>64</v>
      </c>
      <c r="B45" s="127" t="str">
        <f>"Gemeinde"&amp;_xlfn.XLOOKUP(A45,Auswahlliste!E:E,Auswahlliste!D:D,FALSE,FALSE)</f>
        <v>Gemeinde5</v>
      </c>
      <c r="C45" s="129" t="s">
        <v>189</v>
      </c>
      <c r="D45" s="127" t="s">
        <v>326</v>
      </c>
      <c r="E45" s="126">
        <v>0.4</v>
      </c>
    </row>
    <row r="46" spans="1:5">
      <c r="A46" t="s">
        <v>64</v>
      </c>
      <c r="B46" s="127" t="str">
        <f>"Gemeinde"&amp;_xlfn.XLOOKUP(A46,Auswahlliste!E:E,Auswahlliste!D:D,FALSE,FALSE)</f>
        <v>Gemeinde5</v>
      </c>
      <c r="C46" s="129" t="s">
        <v>190</v>
      </c>
      <c r="D46" s="127" t="s">
        <v>355</v>
      </c>
      <c r="E46" s="126">
        <v>0.4</v>
      </c>
    </row>
    <row r="47" spans="1:5">
      <c r="A47" t="s">
        <v>64</v>
      </c>
      <c r="B47" s="127" t="str">
        <f>"Gemeinde"&amp;_xlfn.XLOOKUP(A47,Auswahlliste!E:E,Auswahlliste!D:D,FALSE,FALSE)</f>
        <v>Gemeinde5</v>
      </c>
      <c r="C47" s="129" t="s">
        <v>405</v>
      </c>
      <c r="D47" s="127" t="s">
        <v>332</v>
      </c>
      <c r="E47" s="126">
        <v>0.4</v>
      </c>
    </row>
    <row r="48" spans="1:5">
      <c r="A48" t="s">
        <v>64</v>
      </c>
      <c r="B48" s="127" t="str">
        <f>"Gemeinde"&amp;_xlfn.XLOOKUP(A48,Auswahlliste!E:E,Auswahlliste!D:D,FALSE,FALSE)</f>
        <v>Gemeinde5</v>
      </c>
      <c r="C48" s="129" t="s">
        <v>406</v>
      </c>
      <c r="D48" s="127" t="s">
        <v>407</v>
      </c>
      <c r="E48" s="126">
        <v>0.45</v>
      </c>
    </row>
    <row r="49" spans="1:5">
      <c r="A49" t="s">
        <v>64</v>
      </c>
      <c r="B49" s="127" t="str">
        <f>"Gemeinde"&amp;_xlfn.XLOOKUP(A49,Auswahlliste!E:E,Auswahlliste!D:D,FALSE,FALSE)</f>
        <v>Gemeinde5</v>
      </c>
      <c r="C49" s="129" t="s">
        <v>408</v>
      </c>
      <c r="D49" s="127" t="s">
        <v>334</v>
      </c>
      <c r="E49" s="126">
        <v>0.45</v>
      </c>
    </row>
    <row r="50" spans="1:5">
      <c r="A50" t="s">
        <v>64</v>
      </c>
      <c r="B50" s="127" t="str">
        <f>"Gemeinde"&amp;_xlfn.XLOOKUP(A50,Auswahlliste!E:E,Auswahlliste!D:D,FALSE,FALSE)</f>
        <v>Gemeinde5</v>
      </c>
      <c r="C50" s="129" t="s">
        <v>343</v>
      </c>
      <c r="D50" s="127" t="s">
        <v>344</v>
      </c>
      <c r="E50" s="126">
        <v>0.6</v>
      </c>
    </row>
    <row r="51" spans="1:5">
      <c r="A51" t="s">
        <v>64</v>
      </c>
      <c r="B51" s="127" t="str">
        <f>"Gemeinde"&amp;_xlfn.XLOOKUP(A51,Auswahlliste!E:E,Auswahlliste!D:D,FALSE,FALSE)</f>
        <v>Gemeinde5</v>
      </c>
      <c r="C51" s="129" t="s">
        <v>409</v>
      </c>
      <c r="D51" s="127" t="s">
        <v>410</v>
      </c>
      <c r="E51" s="126">
        <v>0.6</v>
      </c>
    </row>
    <row r="52" spans="1:5">
      <c r="A52" t="s">
        <v>64</v>
      </c>
      <c r="B52" s="127" t="str">
        <f>"Gemeinde"&amp;_xlfn.XLOOKUP(A52,Auswahlliste!E:E,Auswahlliste!D:D,FALSE,FALSE)</f>
        <v>Gemeinde5</v>
      </c>
      <c r="C52" s="129" t="s">
        <v>310</v>
      </c>
      <c r="D52" s="127" t="s">
        <v>371</v>
      </c>
      <c r="E52" s="126">
        <v>0.6</v>
      </c>
    </row>
    <row r="53" spans="1:5">
      <c r="A53" t="s">
        <v>64</v>
      </c>
      <c r="B53" s="127" t="str">
        <f>"Gemeinde"&amp;_xlfn.XLOOKUP(A53,Auswahlliste!E:E,Auswahlliste!D:D,FALSE,FALSE)</f>
        <v>Gemeinde5</v>
      </c>
      <c r="C53" s="129" t="s">
        <v>411</v>
      </c>
      <c r="D53" s="127" t="s">
        <v>412</v>
      </c>
      <c r="E53" s="126">
        <v>0.5</v>
      </c>
    </row>
    <row r="54" spans="1:5">
      <c r="A54" t="s">
        <v>64</v>
      </c>
      <c r="B54" s="127" t="str">
        <f>"Gemeinde"&amp;_xlfn.XLOOKUP(A54,Auswahlliste!E:E,Auswahlliste!D:D,FALSE,FALSE)</f>
        <v>Gemeinde5</v>
      </c>
      <c r="C54" s="133" t="s">
        <v>413</v>
      </c>
      <c r="D54" s="31" t="s">
        <v>414</v>
      </c>
      <c r="E54" s="136">
        <v>0.25</v>
      </c>
    </row>
    <row r="55" spans="1:5">
      <c r="A55" t="s">
        <v>64</v>
      </c>
      <c r="B55" s="127" t="str">
        <f>"Gemeinde"&amp;_xlfn.XLOOKUP(A55,Auswahlliste!E:E,Auswahlliste!D:D,FALSE,FALSE)</f>
        <v>Gemeinde5</v>
      </c>
      <c r="C55" s="129" t="s">
        <v>415</v>
      </c>
      <c r="D55" s="127" t="s">
        <v>416</v>
      </c>
      <c r="E55" s="126">
        <v>0.4</v>
      </c>
    </row>
    <row r="56" spans="1:5">
      <c r="A56" t="s">
        <v>64</v>
      </c>
      <c r="B56" s="127" t="str">
        <f>"Gemeinde"&amp;_xlfn.XLOOKUP(A56,Auswahlliste!E:E,Auswahlliste!D:D,FALSE,FALSE)</f>
        <v>Gemeinde5</v>
      </c>
      <c r="C56" s="129" t="s">
        <v>15</v>
      </c>
      <c r="D56" s="127" t="s">
        <v>417</v>
      </c>
      <c r="E56" s="126">
        <v>0.6</v>
      </c>
    </row>
    <row r="57" spans="1:5">
      <c r="A57" t="s">
        <v>64</v>
      </c>
      <c r="B57" s="127" t="str">
        <f>"Gemeinde"&amp;_xlfn.XLOOKUP(A57,Auswahlliste!E:E,Auswahlliste!D:D,FALSE,FALSE)</f>
        <v>Gemeinde5</v>
      </c>
      <c r="C57" s="129" t="s">
        <v>342</v>
      </c>
      <c r="D57" s="127" t="s">
        <v>418</v>
      </c>
      <c r="E57" s="126">
        <v>0.3</v>
      </c>
    </row>
    <row r="58" spans="1:5">
      <c r="A58" t="s">
        <v>64</v>
      </c>
      <c r="B58" s="127" t="str">
        <f>"Gemeinde"&amp;_xlfn.XLOOKUP(A58,Auswahlliste!E:E,Auswahlliste!D:D,FALSE,FALSE)</f>
        <v>Gemeinde5</v>
      </c>
      <c r="C58" s="129" t="s">
        <v>419</v>
      </c>
      <c r="D58" s="127" t="s">
        <v>395</v>
      </c>
      <c r="E58" s="126">
        <v>0.3</v>
      </c>
    </row>
    <row r="59" spans="1:5">
      <c r="A59" t="s">
        <v>64</v>
      </c>
      <c r="B59" s="127" t="str">
        <f>"Gemeinde"&amp;_xlfn.XLOOKUP(A59,Auswahlliste!E:E,Auswahlliste!D:D,FALSE,FALSE)</f>
        <v>Gemeinde5</v>
      </c>
      <c r="C59" s="129" t="s">
        <v>308</v>
      </c>
      <c r="D59" s="127" t="s">
        <v>371</v>
      </c>
      <c r="E59" s="126">
        <v>0.1</v>
      </c>
    </row>
    <row r="60" spans="1:5">
      <c r="A60" t="s">
        <v>64</v>
      </c>
      <c r="B60" s="127" t="str">
        <f>"Gemeinde"&amp;_xlfn.XLOOKUP(A60,Auswahlliste!E:E,Auswahlliste!D:D,FALSE,FALSE)</f>
        <v>Gemeinde5</v>
      </c>
      <c r="C60" s="129" t="s">
        <v>420</v>
      </c>
      <c r="D60" s="127" t="s">
        <v>421</v>
      </c>
      <c r="E60" s="126">
        <v>0.9</v>
      </c>
    </row>
    <row r="61" spans="1:5">
      <c r="A61" t="s">
        <v>47</v>
      </c>
      <c r="B61" s="127" t="str">
        <f>"Gemeinde"&amp;_xlfn.XLOOKUP(A61,Auswahlliste!E:E,Auswahlliste!D:D,FALSE,FALSE)</f>
        <v>Gemeinde6</v>
      </c>
      <c r="C61" s="129" t="s">
        <v>641</v>
      </c>
      <c r="D61" s="126" t="s">
        <v>643</v>
      </c>
      <c r="E61" s="126">
        <v>0.25</v>
      </c>
    </row>
    <row r="62" spans="1:5">
      <c r="A62" t="s">
        <v>47</v>
      </c>
      <c r="B62" s="127" t="str">
        <f>"Gemeinde"&amp;_xlfn.XLOOKUP(A62,Auswahlliste!E:E,Auswahlliste!D:D,FALSE,FALSE)</f>
        <v>Gemeinde6</v>
      </c>
      <c r="C62" s="129" t="s">
        <v>813</v>
      </c>
      <c r="D62" s="126" t="s">
        <v>814</v>
      </c>
      <c r="E62" s="126">
        <v>0.5</v>
      </c>
    </row>
    <row r="63" spans="1:5">
      <c r="A63" t="s">
        <v>47</v>
      </c>
      <c r="B63" s="127" t="str">
        <f>"Gemeinde"&amp;_xlfn.XLOOKUP(A63,Auswahlliste!E:E,Auswahlliste!D:D,FALSE,FALSE)</f>
        <v>Gemeinde6</v>
      </c>
      <c r="C63" s="129" t="s">
        <v>642</v>
      </c>
      <c r="D63" s="126" t="s">
        <v>644</v>
      </c>
      <c r="E63" s="126">
        <v>0.1</v>
      </c>
    </row>
    <row r="64" spans="1:5">
      <c r="A64" t="s">
        <v>73</v>
      </c>
      <c r="B64" s="127" t="str">
        <f>"Gemeinde"&amp;_xlfn.XLOOKUP(A64,Auswahlliste!E:E,Auswahlliste!D:D,FALSE,FALSE)</f>
        <v>Gemeinde7</v>
      </c>
      <c r="C64" s="129" t="s">
        <v>458</v>
      </c>
      <c r="D64" s="126" t="s">
        <v>453</v>
      </c>
      <c r="E64" s="126">
        <v>0.1</v>
      </c>
    </row>
    <row r="65" spans="1:5">
      <c r="A65" t="s">
        <v>73</v>
      </c>
      <c r="B65" s="127" t="str">
        <f>"Gemeinde"&amp;_xlfn.XLOOKUP(A65,Auswahlliste!E:E,Auswahlliste!D:D,FALSE,FALSE)</f>
        <v>Gemeinde7</v>
      </c>
      <c r="C65" s="129" t="s">
        <v>369</v>
      </c>
      <c r="D65" s="126" t="s">
        <v>375</v>
      </c>
      <c r="E65" s="126">
        <v>0.1</v>
      </c>
    </row>
    <row r="66" spans="1:5">
      <c r="A66" t="s">
        <v>73</v>
      </c>
      <c r="B66" s="127" t="str">
        <f>"Gemeinde"&amp;_xlfn.XLOOKUP(A66,Auswahlliste!E:E,Auswahlliste!D:D,FALSE,FALSE)</f>
        <v>Gemeinde7</v>
      </c>
      <c r="C66" s="129" t="s">
        <v>435</v>
      </c>
      <c r="D66" s="126" t="s">
        <v>367</v>
      </c>
      <c r="E66" s="126">
        <v>0.1</v>
      </c>
    </row>
    <row r="67" spans="1:5">
      <c r="A67" t="s">
        <v>73</v>
      </c>
      <c r="B67" s="127" t="str">
        <f>"Gemeinde"&amp;_xlfn.XLOOKUP(A67,Auswahlliste!E:E,Auswahlliste!D:D,FALSE,FALSE)</f>
        <v>Gemeinde7</v>
      </c>
      <c r="C67" s="129" t="s">
        <v>189</v>
      </c>
      <c r="D67" s="126" t="s">
        <v>326</v>
      </c>
      <c r="E67" s="126">
        <v>0.1</v>
      </c>
    </row>
    <row r="68" spans="1:5">
      <c r="A68" t="s">
        <v>73</v>
      </c>
      <c r="B68" s="127" t="str">
        <f>"Gemeinde"&amp;_xlfn.XLOOKUP(A68,Auswahlliste!E:E,Auswahlliste!D:D,FALSE,FALSE)</f>
        <v>Gemeinde7</v>
      </c>
      <c r="C68" s="129" t="s">
        <v>190</v>
      </c>
      <c r="D68" s="126" t="s">
        <v>355</v>
      </c>
      <c r="E68" s="126">
        <v>0.1</v>
      </c>
    </row>
    <row r="69" spans="1:5">
      <c r="A69" t="s">
        <v>73</v>
      </c>
      <c r="B69" s="127" t="str">
        <f>"Gemeinde"&amp;_xlfn.XLOOKUP(A69,Auswahlliste!E:E,Auswahlliste!D:D,FALSE,FALSE)</f>
        <v>Gemeinde7</v>
      </c>
      <c r="C69" s="129" t="s">
        <v>191</v>
      </c>
      <c r="D69" s="126" t="s">
        <v>441</v>
      </c>
      <c r="E69" s="126">
        <v>0.1</v>
      </c>
    </row>
    <row r="70" spans="1:5">
      <c r="A70" t="s">
        <v>73</v>
      </c>
      <c r="B70" s="127" t="str">
        <f>"Gemeinde"&amp;_xlfn.XLOOKUP(A70,Auswahlliste!E:E,Auswahlliste!D:D,FALSE,FALSE)</f>
        <v>Gemeinde7</v>
      </c>
      <c r="C70" s="129" t="s">
        <v>473</v>
      </c>
      <c r="D70" s="126" t="s">
        <v>332</v>
      </c>
      <c r="E70" s="126">
        <v>0.1</v>
      </c>
    </row>
    <row r="71" spans="1:5">
      <c r="A71" t="s">
        <v>73</v>
      </c>
      <c r="B71" s="127" t="str">
        <f>"Gemeinde"&amp;_xlfn.XLOOKUP(A71,Auswahlliste!E:E,Auswahlliste!D:D,FALSE,FALSE)</f>
        <v>Gemeinde7</v>
      </c>
      <c r="C71" s="129" t="s">
        <v>474</v>
      </c>
      <c r="D71" s="126" t="s">
        <v>334</v>
      </c>
      <c r="E71" s="126">
        <v>0.1</v>
      </c>
    </row>
    <row r="72" spans="1:5">
      <c r="A72" t="s">
        <v>73</v>
      </c>
      <c r="B72" s="127" t="str">
        <f>"Gemeinde"&amp;_xlfn.XLOOKUP(A72,Auswahlliste!E:E,Auswahlliste!D:D,FALSE,FALSE)</f>
        <v>Gemeinde7</v>
      </c>
      <c r="C72" s="129" t="s">
        <v>475</v>
      </c>
      <c r="D72" s="126" t="s">
        <v>361</v>
      </c>
      <c r="E72" s="126">
        <v>0.1</v>
      </c>
    </row>
    <row r="73" spans="1:5">
      <c r="A73" t="s">
        <v>73</v>
      </c>
      <c r="B73" s="127" t="str">
        <f>"Gemeinde"&amp;_xlfn.XLOOKUP(A73,Auswahlliste!E:E,Auswahlliste!D:D,FALSE,FALSE)</f>
        <v>Gemeinde7</v>
      </c>
      <c r="C73" s="129" t="s">
        <v>476</v>
      </c>
      <c r="D73" s="126" t="s">
        <v>423</v>
      </c>
      <c r="E73" s="126">
        <v>0.1</v>
      </c>
    </row>
    <row r="74" spans="1:5">
      <c r="A74" t="s">
        <v>73</v>
      </c>
      <c r="B74" s="127" t="str">
        <f>"Gemeinde"&amp;_xlfn.XLOOKUP(A74,Auswahlliste!E:E,Auswahlliste!D:D,FALSE,FALSE)</f>
        <v>Gemeinde7</v>
      </c>
      <c r="C74" s="129" t="s">
        <v>424</v>
      </c>
      <c r="D74" s="126" t="s">
        <v>425</v>
      </c>
      <c r="E74" s="126">
        <v>0.1</v>
      </c>
    </row>
    <row r="75" spans="1:5">
      <c r="A75" t="s">
        <v>73</v>
      </c>
      <c r="B75" s="127" t="str">
        <f>"Gemeinde"&amp;_xlfn.XLOOKUP(A75,Auswahlliste!E:E,Auswahlliste!D:D,FALSE,FALSE)</f>
        <v>Gemeinde7</v>
      </c>
      <c r="C75" s="133" t="s">
        <v>397</v>
      </c>
      <c r="D75" s="136" t="s">
        <v>309</v>
      </c>
      <c r="E75" s="136">
        <v>0.1</v>
      </c>
    </row>
    <row r="76" spans="1:5">
      <c r="A76" t="s">
        <v>73</v>
      </c>
      <c r="B76" s="127" t="str">
        <f>"Gemeinde"&amp;_xlfn.XLOOKUP(A76,Auswahlliste!E:E,Auswahlliste!D:D,FALSE,FALSE)</f>
        <v>Gemeinde7</v>
      </c>
      <c r="C76" s="129" t="s">
        <v>340</v>
      </c>
      <c r="D76" s="126" t="s">
        <v>341</v>
      </c>
      <c r="E76" s="126">
        <v>0.1</v>
      </c>
    </row>
    <row r="77" spans="1:5">
      <c r="A77" t="s">
        <v>73</v>
      </c>
      <c r="B77" s="127" t="str">
        <f>"Gemeinde"&amp;_xlfn.XLOOKUP(A77,Auswahlliste!E:E,Auswahlliste!D:D,FALSE,FALSE)</f>
        <v>Gemeinde7</v>
      </c>
      <c r="C77" s="129" t="s">
        <v>433</v>
      </c>
      <c r="D77" s="126" t="s">
        <v>434</v>
      </c>
      <c r="E77" s="126">
        <v>0.1</v>
      </c>
    </row>
    <row r="78" spans="1:5">
      <c r="A78" t="s">
        <v>73</v>
      </c>
      <c r="B78" s="127" t="str">
        <f>"Gemeinde"&amp;_xlfn.XLOOKUP(A78,Auswahlliste!E:E,Auswahlliste!D:D,FALSE,FALSE)</f>
        <v>Gemeinde7</v>
      </c>
      <c r="C78" s="129" t="s">
        <v>343</v>
      </c>
      <c r="D78" s="126" t="s">
        <v>344</v>
      </c>
      <c r="E78" s="126">
        <v>0.1</v>
      </c>
    </row>
    <row r="79" spans="1:5">
      <c r="A79" t="s">
        <v>73</v>
      </c>
      <c r="B79" s="127" t="str">
        <f>"Gemeinde"&amp;_xlfn.XLOOKUP(A79,Auswahlliste!E:E,Auswahlliste!D:D,FALSE,FALSE)</f>
        <v>Gemeinde7</v>
      </c>
      <c r="C79" s="129" t="s">
        <v>442</v>
      </c>
      <c r="D79" s="126" t="s">
        <v>443</v>
      </c>
      <c r="E79" s="126">
        <v>0.1</v>
      </c>
    </row>
    <row r="80" spans="1:5">
      <c r="A80" t="s">
        <v>73</v>
      </c>
      <c r="B80" s="127" t="str">
        <f>"Gemeinde"&amp;_xlfn.XLOOKUP(A80,Auswahlliste!E:E,Auswahlliste!D:D,FALSE,FALSE)</f>
        <v>Gemeinde7</v>
      </c>
      <c r="C80" s="129" t="s">
        <v>15</v>
      </c>
      <c r="D80" s="126" t="s">
        <v>386</v>
      </c>
      <c r="E80" s="126">
        <v>0.1</v>
      </c>
    </row>
    <row r="81" spans="1:5">
      <c r="A81" t="s">
        <v>73</v>
      </c>
      <c r="B81" s="127" t="str">
        <f>"Gemeinde"&amp;_xlfn.XLOOKUP(A81,Auswahlliste!E:E,Auswahlliste!D:D,FALSE,FALSE)</f>
        <v>Gemeinde7</v>
      </c>
      <c r="C81" s="129" t="s">
        <v>444</v>
      </c>
      <c r="D81" s="126" t="s">
        <v>445</v>
      </c>
      <c r="E81" s="126">
        <v>0.1</v>
      </c>
    </row>
    <row r="82" spans="1:5">
      <c r="A82" t="s">
        <v>73</v>
      </c>
      <c r="B82" s="127" t="str">
        <f>"Gemeinde"&amp;_xlfn.XLOOKUP(A82,Auswahlliste!E:E,Auswahlliste!D:D,FALSE,FALSE)</f>
        <v>Gemeinde7</v>
      </c>
      <c r="C82" s="129" t="s">
        <v>446</v>
      </c>
      <c r="D82" s="126" t="s">
        <v>447</v>
      </c>
      <c r="E82" s="126">
        <v>0.1</v>
      </c>
    </row>
    <row r="83" spans="1:5">
      <c r="A83" t="s">
        <v>36</v>
      </c>
      <c r="B83" s="127" t="str">
        <f>"Gemeinde"&amp;_xlfn.XLOOKUP(A83,Auswahlliste!E:E,Auswahlliste!D:D,FALSE,FALSE)</f>
        <v>Gemeinde8</v>
      </c>
      <c r="C83" s="129" t="s">
        <v>705</v>
      </c>
      <c r="D83" s="126"/>
      <c r="E83" s="126"/>
    </row>
    <row r="84" spans="1:5">
      <c r="A84" t="s">
        <v>36</v>
      </c>
      <c r="B84" s="127" t="str">
        <f>"Gemeinde"&amp;_xlfn.XLOOKUP(A84,Auswahlliste!E:E,Auswahlliste!D:D,FALSE,FALSE)</f>
        <v>Gemeinde8</v>
      </c>
      <c r="C84" s="129" t="s">
        <v>726</v>
      </c>
      <c r="D84" s="126" t="s">
        <v>706</v>
      </c>
      <c r="E84" s="126">
        <v>0.15</v>
      </c>
    </row>
    <row r="85" spans="1:5">
      <c r="A85" t="s">
        <v>36</v>
      </c>
      <c r="B85" s="127" t="str">
        <f>"Gemeinde"&amp;_xlfn.XLOOKUP(A85,Auswahlliste!E:E,Auswahlliste!D:D,FALSE,FALSE)</f>
        <v>Gemeinde8</v>
      </c>
      <c r="C85" s="129" t="s">
        <v>189</v>
      </c>
      <c r="D85" s="126" t="s">
        <v>326</v>
      </c>
      <c r="E85" s="126">
        <v>0.2</v>
      </c>
    </row>
    <row r="86" spans="1:5">
      <c r="A86" t="s">
        <v>36</v>
      </c>
      <c r="B86" s="127" t="str">
        <f>"Gemeinde"&amp;_xlfn.XLOOKUP(A86,Auswahlliste!E:E,Auswahlliste!D:D,FALSE,FALSE)</f>
        <v>Gemeinde8</v>
      </c>
      <c r="C86" s="129" t="s">
        <v>192</v>
      </c>
      <c r="D86" s="126" t="s">
        <v>332</v>
      </c>
      <c r="E86" s="126">
        <v>0.2</v>
      </c>
    </row>
    <row r="87" spans="1:5">
      <c r="A87" t="s">
        <v>36</v>
      </c>
      <c r="B87" s="127" t="str">
        <f>"Gemeinde"&amp;_xlfn.XLOOKUP(A87,Auswahlliste!E:E,Auswahlliste!D:D,FALSE,FALSE)</f>
        <v>Gemeinde8</v>
      </c>
      <c r="C87" s="130" t="s">
        <v>193</v>
      </c>
      <c r="D87" s="132" t="s">
        <v>334</v>
      </c>
      <c r="E87" s="132">
        <v>0.2</v>
      </c>
    </row>
    <row r="88" spans="1:5">
      <c r="A88" t="s">
        <v>36</v>
      </c>
      <c r="B88" s="127" t="str">
        <f>"Gemeinde"&amp;_xlfn.XLOOKUP(A88,Auswahlliste!E:E,Auswahlliste!D:D,FALSE,FALSE)</f>
        <v>Gemeinde8</v>
      </c>
      <c r="C88" s="129" t="s">
        <v>343</v>
      </c>
      <c r="D88" s="126" t="s">
        <v>344</v>
      </c>
      <c r="E88" s="126">
        <v>0.25</v>
      </c>
    </row>
    <row r="89" spans="1:5">
      <c r="A89" t="s">
        <v>36</v>
      </c>
      <c r="B89" s="127" t="str">
        <f>"Gemeinde"&amp;_xlfn.XLOOKUP(A89,Auswahlliste!E:E,Auswahlliste!D:D,FALSE,FALSE)</f>
        <v>Gemeinde8</v>
      </c>
      <c r="C89" s="133" t="s">
        <v>15</v>
      </c>
      <c r="D89" s="136" t="s">
        <v>449</v>
      </c>
      <c r="E89" s="136">
        <v>0.15</v>
      </c>
    </row>
    <row r="90" spans="1:5">
      <c r="A90" t="s">
        <v>36</v>
      </c>
      <c r="B90" s="127" t="str">
        <f>"Gemeinde"&amp;_xlfn.XLOOKUP(A90,Auswahlliste!E:E,Auswahlliste!D:D,FALSE,FALSE)</f>
        <v>Gemeinde8</v>
      </c>
      <c r="C90" s="129" t="s">
        <v>419</v>
      </c>
      <c r="D90" s="126" t="s">
        <v>632</v>
      </c>
      <c r="E90" s="126">
        <v>0.15</v>
      </c>
    </row>
    <row r="91" spans="1:5">
      <c r="A91" t="s">
        <v>46</v>
      </c>
      <c r="B91" s="127" t="str">
        <f>"Gemeinde"&amp;_xlfn.XLOOKUP(A91,Auswahlliste!E:E,Auswahlliste!D:D,FALSE,FALSE)</f>
        <v>Gemeinde9</v>
      </c>
      <c r="C91" s="129" t="s">
        <v>452</v>
      </c>
      <c r="D91" s="126" t="s">
        <v>453</v>
      </c>
      <c r="E91" s="126">
        <v>0.1</v>
      </c>
    </row>
    <row r="92" spans="1:5">
      <c r="A92" t="s">
        <v>46</v>
      </c>
      <c r="B92" s="127" t="str">
        <f>"Gemeinde"&amp;_xlfn.XLOOKUP(A92,Auswahlliste!E:E,Auswahlliste!D:D,FALSE,FALSE)</f>
        <v>Gemeinde9</v>
      </c>
      <c r="C92" s="129" t="s">
        <v>439</v>
      </c>
      <c r="D92" s="126" t="s">
        <v>375</v>
      </c>
      <c r="E92" s="126">
        <v>0.17499999999999999</v>
      </c>
    </row>
    <row r="93" spans="1:5">
      <c r="A93" t="s">
        <v>46</v>
      </c>
      <c r="B93" s="127" t="str">
        <f>"Gemeinde"&amp;_xlfn.XLOOKUP(A93,Auswahlliste!E:E,Auswahlliste!D:D,FALSE,FALSE)</f>
        <v>Gemeinde9</v>
      </c>
      <c r="C93" s="129" t="s">
        <v>753</v>
      </c>
      <c r="D93" s="126" t="s">
        <v>454</v>
      </c>
      <c r="E93" s="126">
        <v>0.15</v>
      </c>
    </row>
    <row r="94" spans="1:5">
      <c r="A94" t="s">
        <v>46</v>
      </c>
      <c r="B94" s="127" t="str">
        <f>"Gemeinde"&amp;_xlfn.XLOOKUP(A94,Auswahlliste!E:E,Auswahlliste!D:D,FALSE,FALSE)</f>
        <v>Gemeinde9</v>
      </c>
      <c r="C94" s="129" t="s">
        <v>754</v>
      </c>
      <c r="D94" s="126" t="s">
        <v>455</v>
      </c>
      <c r="E94" s="126">
        <v>0.2</v>
      </c>
    </row>
    <row r="95" spans="1:5">
      <c r="A95" t="s">
        <v>46</v>
      </c>
      <c r="B95" s="127" t="str">
        <f>"Gemeinde"&amp;_xlfn.XLOOKUP(A95,Auswahlliste!E:E,Auswahlliste!D:D,FALSE,FALSE)</f>
        <v>Gemeinde9</v>
      </c>
      <c r="C95" s="129" t="s">
        <v>189</v>
      </c>
      <c r="D95" s="126" t="s">
        <v>326</v>
      </c>
      <c r="E95" s="126">
        <v>0.2</v>
      </c>
    </row>
    <row r="96" spans="1:5">
      <c r="A96" t="s">
        <v>46</v>
      </c>
      <c r="B96" s="127" t="str">
        <f>"Gemeinde"&amp;_xlfn.XLOOKUP(A96,Auswahlliste!E:E,Auswahlliste!D:D,FALSE,FALSE)</f>
        <v>Gemeinde9</v>
      </c>
      <c r="C96" s="129" t="s">
        <v>525</v>
      </c>
      <c r="D96" s="126" t="s">
        <v>332</v>
      </c>
      <c r="E96" s="126">
        <v>0.2</v>
      </c>
    </row>
    <row r="97" spans="1:5">
      <c r="A97" t="s">
        <v>46</v>
      </c>
      <c r="B97" s="127" t="str">
        <f>"Gemeinde"&amp;_xlfn.XLOOKUP(A97,Auswahlliste!E:E,Auswahlliste!D:D,FALSE,FALSE)</f>
        <v>Gemeinde9</v>
      </c>
      <c r="C97" s="129" t="s">
        <v>461</v>
      </c>
      <c r="D97" s="126" t="s">
        <v>334</v>
      </c>
      <c r="E97" s="126">
        <v>0.22500000000000001</v>
      </c>
    </row>
    <row r="98" spans="1:5">
      <c r="A98" t="s">
        <v>46</v>
      </c>
      <c r="B98" s="127" t="str">
        <f>"Gemeinde"&amp;_xlfn.XLOOKUP(A98,Auswahlliste!E:E,Auswahlliste!D:D,FALSE,FALSE)</f>
        <v>Gemeinde9</v>
      </c>
      <c r="C98" s="129" t="s">
        <v>343</v>
      </c>
      <c r="D98" s="126" t="s">
        <v>346</v>
      </c>
      <c r="E98" s="126">
        <v>0.3</v>
      </c>
    </row>
    <row r="99" spans="1:5">
      <c r="A99" t="s">
        <v>46</v>
      </c>
      <c r="B99" s="127" t="str">
        <f>"Gemeinde"&amp;_xlfn.XLOOKUP(A99,Auswahlliste!E:E,Auswahlliste!D:D,FALSE,FALSE)</f>
        <v>Gemeinde9</v>
      </c>
      <c r="C99" s="129" t="s">
        <v>428</v>
      </c>
      <c r="D99" s="126" t="s">
        <v>456</v>
      </c>
      <c r="E99" s="126">
        <v>0.3</v>
      </c>
    </row>
    <row r="100" spans="1:5">
      <c r="A100" t="s">
        <v>46</v>
      </c>
      <c r="B100" s="127" t="str">
        <f>"Gemeinde"&amp;_xlfn.XLOOKUP(A100,Auswahlliste!E:E,Auswahlliste!D:D,FALSE,FALSE)</f>
        <v>Gemeinde9</v>
      </c>
      <c r="C100" s="129" t="s">
        <v>15</v>
      </c>
      <c r="D100" s="126" t="s">
        <v>457</v>
      </c>
      <c r="E100" s="126">
        <v>0.15</v>
      </c>
    </row>
    <row r="101" spans="1:5">
      <c r="A101" t="s">
        <v>59</v>
      </c>
      <c r="B101" s="127" t="str">
        <f>"Gemeinde"&amp;_xlfn.XLOOKUP(A101,Auswahlliste!E:E,Auswahlliste!D:D,FALSE,FALSE)</f>
        <v>Gemeinde10</v>
      </c>
      <c r="C101" s="130" t="s">
        <v>308</v>
      </c>
      <c r="D101" s="131" t="s">
        <v>309</v>
      </c>
      <c r="E101" s="132">
        <v>0.05</v>
      </c>
    </row>
    <row r="102" spans="1:5">
      <c r="A102" t="s">
        <v>59</v>
      </c>
      <c r="B102" s="127" t="str">
        <f>"Gemeinde"&amp;_xlfn.XLOOKUP(A102,Auswahlliste!E:E,Auswahlliste!D:D,FALSE,FALSE)</f>
        <v>Gemeinde10</v>
      </c>
      <c r="C102" s="129" t="s">
        <v>362</v>
      </c>
      <c r="D102" s="127" t="s">
        <v>337</v>
      </c>
      <c r="E102" s="126">
        <v>0.49</v>
      </c>
    </row>
    <row r="103" spans="1:5">
      <c r="A103" t="s">
        <v>59</v>
      </c>
      <c r="B103" s="127" t="str">
        <f>"Gemeinde"&amp;_xlfn.XLOOKUP(A103,Auswahlliste!E:E,Auswahlliste!D:D,FALSE,FALSE)</f>
        <v>Gemeinde10</v>
      </c>
      <c r="C103" s="129" t="s">
        <v>363</v>
      </c>
      <c r="D103" s="127" t="s">
        <v>311</v>
      </c>
      <c r="E103" s="126">
        <v>0.6</v>
      </c>
    </row>
    <row r="104" spans="1:5">
      <c r="A104" t="s">
        <v>59</v>
      </c>
      <c r="B104" s="127" t="str">
        <f>"Gemeinde"&amp;_xlfn.XLOOKUP(A104,Auswahlliste!E:E,Auswahlliste!D:D,FALSE,FALSE)</f>
        <v>Gemeinde10</v>
      </c>
      <c r="C104" s="133" t="s">
        <v>364</v>
      </c>
      <c r="D104" s="31" t="s">
        <v>338</v>
      </c>
      <c r="E104" s="136">
        <v>0.47</v>
      </c>
    </row>
    <row r="105" spans="1:5">
      <c r="A105" t="s">
        <v>59</v>
      </c>
      <c r="B105" s="127" t="str">
        <f>"Gemeinde"&amp;_xlfn.XLOOKUP(A105,Auswahlliste!E:E,Auswahlliste!D:D,FALSE,FALSE)</f>
        <v>Gemeinde10</v>
      </c>
      <c r="C105" s="129" t="s">
        <v>365</v>
      </c>
      <c r="D105" s="127" t="s">
        <v>339</v>
      </c>
      <c r="E105" s="126">
        <v>0.76</v>
      </c>
    </row>
    <row r="106" spans="1:5">
      <c r="A106" t="s">
        <v>59</v>
      </c>
      <c r="B106" s="127" t="str">
        <f>"Gemeinde"&amp;_xlfn.XLOOKUP(A106,Auswahlliste!E:E,Auswahlliste!D:D,FALSE,FALSE)</f>
        <v>Gemeinde10</v>
      </c>
      <c r="C106" s="129" t="s">
        <v>340</v>
      </c>
      <c r="D106" s="127" t="s">
        <v>341</v>
      </c>
      <c r="E106" s="126">
        <v>0.54</v>
      </c>
    </row>
    <row r="107" spans="1:5">
      <c r="A107" t="s">
        <v>59</v>
      </c>
      <c r="B107" s="127" t="str">
        <f>"Gemeinde"&amp;_xlfn.XLOOKUP(A107,Auswahlliste!E:E,Auswahlliste!D:D,FALSE,FALSE)</f>
        <v>Gemeinde10</v>
      </c>
      <c r="C107" s="129" t="s">
        <v>345</v>
      </c>
      <c r="D107" s="127" t="s">
        <v>346</v>
      </c>
      <c r="E107" s="126">
        <v>0.49</v>
      </c>
    </row>
    <row r="108" spans="1:5">
      <c r="A108" t="s">
        <v>59</v>
      </c>
      <c r="B108" s="127" t="str">
        <f>"Gemeinde"&amp;_xlfn.XLOOKUP(A108,Auswahlliste!E:E,Auswahlliste!D:D,FALSE,FALSE)</f>
        <v>Gemeinde10</v>
      </c>
      <c r="C108" s="129" t="s">
        <v>347</v>
      </c>
      <c r="D108" s="127" t="s">
        <v>348</v>
      </c>
      <c r="E108" s="126">
        <v>0.48</v>
      </c>
    </row>
    <row r="109" spans="1:5">
      <c r="A109" t="s">
        <v>59</v>
      </c>
      <c r="B109" s="127" t="str">
        <f>"Gemeinde"&amp;_xlfn.XLOOKUP(A109,Auswahlliste!E:E,Auswahlliste!D:D,FALSE,FALSE)</f>
        <v>Gemeinde10</v>
      </c>
      <c r="C109" s="129" t="s">
        <v>349</v>
      </c>
      <c r="D109" s="127" t="s">
        <v>350</v>
      </c>
      <c r="E109" s="126">
        <v>0.56000000000000005</v>
      </c>
    </row>
    <row r="110" spans="1:5">
      <c r="A110" t="s">
        <v>59</v>
      </c>
      <c r="B110" s="127" t="str">
        <f>"Gemeinde"&amp;_xlfn.XLOOKUP(A110,Auswahlliste!E:E,Auswahlliste!D:D,FALSE,FALSE)</f>
        <v>Gemeinde10</v>
      </c>
      <c r="C110" s="129" t="s">
        <v>351</v>
      </c>
      <c r="D110" s="127" t="s">
        <v>352</v>
      </c>
      <c r="E110" s="126">
        <v>0.52</v>
      </c>
    </row>
    <row r="111" spans="1:5">
      <c r="A111" t="s">
        <v>59</v>
      </c>
      <c r="B111" s="127" t="str">
        <f>"Gemeinde"&amp;_xlfn.XLOOKUP(A111,Auswahlliste!E:E,Auswahlliste!D:D,FALSE,FALSE)</f>
        <v>Gemeinde10</v>
      </c>
      <c r="C111" s="129" t="s">
        <v>353</v>
      </c>
      <c r="D111" s="127" t="s">
        <v>306</v>
      </c>
      <c r="E111" s="126">
        <v>0.05</v>
      </c>
    </row>
    <row r="112" spans="1:5">
      <c r="A112" t="s">
        <v>59</v>
      </c>
      <c r="B112" s="127" t="str">
        <f>"Gemeinde"&amp;_xlfn.XLOOKUP(A112,Auswahlliste!E:E,Auswahlliste!D:D,FALSE,FALSE)</f>
        <v>Gemeinde10</v>
      </c>
      <c r="C112" s="129" t="s">
        <v>315</v>
      </c>
      <c r="D112" s="127" t="s">
        <v>316</v>
      </c>
      <c r="E112" s="126">
        <v>0.37</v>
      </c>
    </row>
    <row r="113" spans="1:5">
      <c r="A113" t="s">
        <v>59</v>
      </c>
      <c r="B113" s="127" t="str">
        <f>"Gemeinde"&amp;_xlfn.XLOOKUP(A113,Auswahlliste!E:E,Auswahlliste!D:D,FALSE,FALSE)</f>
        <v>Gemeinde10</v>
      </c>
      <c r="C113" s="129" t="s">
        <v>315</v>
      </c>
      <c r="D113" s="127" t="s">
        <v>317</v>
      </c>
      <c r="E113" s="126">
        <v>0.37</v>
      </c>
    </row>
    <row r="114" spans="1:5">
      <c r="A114" t="s">
        <v>59</v>
      </c>
      <c r="B114" s="127" t="str">
        <f>"Gemeinde"&amp;_xlfn.XLOOKUP(A114,Auswahlliste!E:E,Auswahlliste!D:D,FALSE,FALSE)</f>
        <v>Gemeinde10</v>
      </c>
      <c r="C114" s="129" t="s">
        <v>318</v>
      </c>
      <c r="D114" s="127" t="s">
        <v>319</v>
      </c>
      <c r="E114" s="126">
        <v>0.65</v>
      </c>
    </row>
    <row r="115" spans="1:5">
      <c r="A115" t="s">
        <v>59</v>
      </c>
      <c r="B115" s="127" t="str">
        <f>"Gemeinde"&amp;_xlfn.XLOOKUP(A115,Auswahlliste!E:E,Auswahlliste!D:D,FALSE,FALSE)</f>
        <v>Gemeinde10</v>
      </c>
      <c r="C115" s="129" t="s">
        <v>320</v>
      </c>
      <c r="D115" s="127" t="s">
        <v>321</v>
      </c>
      <c r="E115" s="126">
        <v>0.05</v>
      </c>
    </row>
    <row r="116" spans="1:5">
      <c r="A116" t="s">
        <v>59</v>
      </c>
      <c r="B116" s="127" t="str">
        <f>"Gemeinde"&amp;_xlfn.XLOOKUP(A116,Auswahlliste!E:E,Auswahlliste!D:D,FALSE,FALSE)</f>
        <v>Gemeinde10</v>
      </c>
      <c r="C116" s="130" t="s">
        <v>318</v>
      </c>
      <c r="D116" s="131" t="s">
        <v>322</v>
      </c>
      <c r="E116" s="132">
        <v>0.65</v>
      </c>
    </row>
    <row r="117" spans="1:5">
      <c r="A117" t="s">
        <v>59</v>
      </c>
      <c r="B117" s="127" t="str">
        <f>"Gemeinde"&amp;_xlfn.XLOOKUP(A117,Auswahlliste!E:E,Auswahlliste!D:D,FALSE,FALSE)</f>
        <v>Gemeinde10</v>
      </c>
      <c r="C117" s="129" t="s">
        <v>323</v>
      </c>
      <c r="D117" s="127" t="s">
        <v>324</v>
      </c>
      <c r="E117" s="126">
        <v>0.38</v>
      </c>
    </row>
    <row r="118" spans="1:5">
      <c r="A118" t="s">
        <v>59</v>
      </c>
      <c r="B118" s="127" t="str">
        <f>"Gemeinde"&amp;_xlfn.XLOOKUP(A118,Auswahlliste!E:E,Auswahlliste!D:D,FALSE,FALSE)</f>
        <v>Gemeinde10</v>
      </c>
      <c r="C118" s="133" t="s">
        <v>325</v>
      </c>
      <c r="D118" s="31" t="s">
        <v>326</v>
      </c>
      <c r="E118" s="136">
        <v>0.41</v>
      </c>
    </row>
    <row r="119" spans="1:5">
      <c r="A119" t="s">
        <v>59</v>
      </c>
      <c r="B119" s="127" t="str">
        <f>"Gemeinde"&amp;_xlfn.XLOOKUP(A119,Auswahlliste!E:E,Auswahlliste!D:D,FALSE,FALSE)</f>
        <v>Gemeinde10</v>
      </c>
      <c r="C119" s="129" t="s">
        <v>354</v>
      </c>
      <c r="D119" s="127" t="s">
        <v>355</v>
      </c>
      <c r="E119" s="126">
        <v>0.35</v>
      </c>
    </row>
    <row r="120" spans="1:5">
      <c r="A120" t="s">
        <v>59</v>
      </c>
      <c r="B120" s="127" t="str">
        <f>"Gemeinde"&amp;_xlfn.XLOOKUP(A120,Auswahlliste!E:E,Auswahlliste!D:D,FALSE,FALSE)</f>
        <v>Gemeinde10</v>
      </c>
      <c r="C120" s="129" t="s">
        <v>329</v>
      </c>
      <c r="D120" s="127" t="s">
        <v>330</v>
      </c>
      <c r="E120" s="126">
        <v>0.38</v>
      </c>
    </row>
    <row r="121" spans="1:5">
      <c r="A121" t="s">
        <v>59</v>
      </c>
      <c r="B121" s="127" t="str">
        <f>"Gemeinde"&amp;_xlfn.XLOOKUP(A121,Auswahlliste!E:E,Auswahlliste!D:D,FALSE,FALSE)</f>
        <v>Gemeinde10</v>
      </c>
      <c r="C121" s="129" t="s">
        <v>331</v>
      </c>
      <c r="D121" s="127" t="s">
        <v>332</v>
      </c>
      <c r="E121" s="126">
        <v>0.38</v>
      </c>
    </row>
    <row r="122" spans="1:5">
      <c r="A122" t="s">
        <v>59</v>
      </c>
      <c r="B122" s="127" t="str">
        <f>"Gemeinde"&amp;_xlfn.XLOOKUP(A122,Auswahlliste!E:E,Auswahlliste!D:D,FALSE,FALSE)</f>
        <v>Gemeinde10</v>
      </c>
      <c r="C122" s="129" t="s">
        <v>333</v>
      </c>
      <c r="D122" s="127" t="s">
        <v>334</v>
      </c>
      <c r="E122" s="126">
        <v>0.44</v>
      </c>
    </row>
    <row r="123" spans="1:5">
      <c r="A123" t="s">
        <v>59</v>
      </c>
      <c r="B123" s="127" t="str">
        <f>"Gemeinde"&amp;_xlfn.XLOOKUP(A123,Auswahlliste!E:E,Auswahlliste!D:D,FALSE,FALSE)</f>
        <v>Gemeinde10</v>
      </c>
      <c r="C123" s="129" t="s">
        <v>360</v>
      </c>
      <c r="D123" s="127" t="s">
        <v>361</v>
      </c>
      <c r="E123" s="126">
        <v>0.53</v>
      </c>
    </row>
    <row r="124" spans="1:5">
      <c r="A124" t="s">
        <v>615</v>
      </c>
      <c r="B124" s="127" t="str">
        <f>"Gemeinde"&amp;_xlfn.XLOOKUP(A124,Auswahlliste!E:E,Auswahlliste!D:D,FALSE,FALSE)</f>
        <v>Gemeinde12</v>
      </c>
      <c r="C124" s="129" t="s">
        <v>458</v>
      </c>
      <c r="D124" s="126" t="s">
        <v>453</v>
      </c>
      <c r="E124" s="126">
        <v>0.1</v>
      </c>
    </row>
    <row r="125" spans="1:5">
      <c r="A125" t="s">
        <v>615</v>
      </c>
      <c r="B125" s="127" t="str">
        <f>"Gemeinde"&amp;_xlfn.XLOOKUP(A125,Auswahlliste!E:E,Auswahlliste!D:D,FALSE,FALSE)</f>
        <v>Gemeinde12</v>
      </c>
      <c r="C125" s="129" t="s">
        <v>459</v>
      </c>
      <c r="D125" s="126" t="s">
        <v>297</v>
      </c>
      <c r="E125" s="126">
        <v>0.41</v>
      </c>
    </row>
    <row r="126" spans="1:5">
      <c r="A126" t="s">
        <v>615</v>
      </c>
      <c r="B126" s="127" t="str">
        <f>"Gemeinde"&amp;_xlfn.XLOOKUP(A126,Auswahlliste!E:E,Auswahlliste!D:D,FALSE,FALSE)</f>
        <v>Gemeinde12</v>
      </c>
      <c r="C126" s="129" t="s">
        <v>460</v>
      </c>
      <c r="D126" s="126" t="s">
        <v>346</v>
      </c>
      <c r="E126" s="126">
        <v>0.48</v>
      </c>
    </row>
    <row r="127" spans="1:5">
      <c r="A127" t="s">
        <v>615</v>
      </c>
      <c r="B127" s="127" t="str">
        <f>"Gemeinde"&amp;_xlfn.XLOOKUP(A127,Auswahlliste!E:E,Auswahlliste!D:D,FALSE,FALSE)</f>
        <v>Gemeinde12</v>
      </c>
      <c r="C127" s="133" t="s">
        <v>189</v>
      </c>
      <c r="D127" s="136" t="s">
        <v>326</v>
      </c>
      <c r="E127" s="136">
        <v>0.43</v>
      </c>
    </row>
    <row r="128" spans="1:5">
      <c r="A128" t="s">
        <v>615</v>
      </c>
      <c r="B128" s="127" t="str">
        <f>"Gemeinde"&amp;_xlfn.XLOOKUP(A128,Auswahlliste!E:E,Auswahlliste!D:D,FALSE,FALSE)</f>
        <v>Gemeinde12</v>
      </c>
      <c r="C128" s="129" t="s">
        <v>435</v>
      </c>
      <c r="D128" s="126" t="s">
        <v>367</v>
      </c>
      <c r="E128" s="126">
        <v>0.25</v>
      </c>
    </row>
    <row r="129" spans="1:5">
      <c r="A129" t="s">
        <v>615</v>
      </c>
      <c r="B129" s="127" t="str">
        <f>"Gemeinde"&amp;_xlfn.XLOOKUP(A129,Auswahlliste!E:E,Auswahlliste!D:D,FALSE,FALSE)</f>
        <v>Gemeinde12</v>
      </c>
      <c r="C129" s="129" t="s">
        <v>461</v>
      </c>
      <c r="D129" s="126" t="s">
        <v>462</v>
      </c>
      <c r="E129" s="126">
        <v>0.34</v>
      </c>
    </row>
    <row r="130" spans="1:5">
      <c r="A130" t="s">
        <v>615</v>
      </c>
      <c r="B130" s="127" t="str">
        <f>"Gemeinde"&amp;_xlfn.XLOOKUP(A130,Auswahlliste!E:E,Auswahlliste!D:D,FALSE,FALSE)</f>
        <v>Gemeinde12</v>
      </c>
      <c r="C130" s="129" t="s">
        <v>463</v>
      </c>
      <c r="D130" s="126" t="s">
        <v>464</v>
      </c>
      <c r="E130" s="126">
        <v>0.28999999999999998</v>
      </c>
    </row>
    <row r="131" spans="1:5">
      <c r="A131" t="s">
        <v>615</v>
      </c>
      <c r="B131" s="127" t="str">
        <f>"Gemeinde"&amp;_xlfn.XLOOKUP(A131,Auswahlliste!E:E,Auswahlliste!D:D,FALSE,FALSE)</f>
        <v>Gemeinde12</v>
      </c>
      <c r="C131" s="129" t="s">
        <v>465</v>
      </c>
      <c r="D131" s="126" t="s">
        <v>341</v>
      </c>
      <c r="E131" s="126">
        <v>0.46</v>
      </c>
    </row>
    <row r="132" spans="1:5">
      <c r="A132" t="s">
        <v>615</v>
      </c>
      <c r="B132" s="127" t="str">
        <f>"Gemeinde"&amp;_xlfn.XLOOKUP(A132,Auswahlliste!E:E,Auswahlliste!D:D,FALSE,FALSE)</f>
        <v>Gemeinde12</v>
      </c>
      <c r="C132" s="129" t="s">
        <v>466</v>
      </c>
      <c r="D132" s="126" t="s">
        <v>371</v>
      </c>
      <c r="E132" s="126">
        <v>0.51</v>
      </c>
    </row>
    <row r="133" spans="1:5">
      <c r="A133" t="s">
        <v>615</v>
      </c>
      <c r="B133" s="127" t="str">
        <f>"Gemeinde"&amp;_xlfn.XLOOKUP(A133,Auswahlliste!E:E,Auswahlliste!D:D,FALSE,FALSE)</f>
        <v>Gemeinde12</v>
      </c>
      <c r="C133" s="129" t="s">
        <v>15</v>
      </c>
      <c r="D133" s="126" t="s">
        <v>317</v>
      </c>
      <c r="E133" s="126">
        <v>0.3</v>
      </c>
    </row>
    <row r="134" spans="1:5">
      <c r="A134" t="s">
        <v>614</v>
      </c>
      <c r="B134" s="127" t="str">
        <f>"Gemeinde"&amp;_xlfn.XLOOKUP(A134,Auswahlliste!E:E,Auswahlliste!D:D,FALSE,FALSE)</f>
        <v>Gemeinde13</v>
      </c>
      <c r="C134" s="129" t="s">
        <v>458</v>
      </c>
      <c r="D134" s="126" t="s">
        <v>453</v>
      </c>
      <c r="E134" s="126">
        <v>0.1</v>
      </c>
    </row>
    <row r="135" spans="1:5">
      <c r="A135" t="s">
        <v>614</v>
      </c>
      <c r="B135" s="127" t="str">
        <f>"Gemeinde"&amp;_xlfn.XLOOKUP(A135,Auswahlliste!E:E,Auswahlliste!D:D,FALSE,FALSE)</f>
        <v>Gemeinde13</v>
      </c>
      <c r="C135" s="129" t="s">
        <v>459</v>
      </c>
      <c r="D135" s="126" t="s">
        <v>297</v>
      </c>
      <c r="E135" s="126">
        <v>0.5</v>
      </c>
    </row>
    <row r="136" spans="1:5">
      <c r="A136" t="s">
        <v>614</v>
      </c>
      <c r="B136" s="127" t="str">
        <f>"Gemeinde"&amp;_xlfn.XLOOKUP(A136,Auswahlliste!E:E,Auswahlliste!D:D,FALSE,FALSE)</f>
        <v>Gemeinde13</v>
      </c>
      <c r="C136" s="129" t="s">
        <v>460</v>
      </c>
      <c r="D136" s="126" t="s">
        <v>346</v>
      </c>
      <c r="E136" s="126">
        <v>0.55000000000000004</v>
      </c>
    </row>
    <row r="137" spans="1:5">
      <c r="A137" t="s">
        <v>614</v>
      </c>
      <c r="B137" s="127" t="str">
        <f>"Gemeinde"&amp;_xlfn.XLOOKUP(A137,Auswahlliste!E:E,Auswahlliste!D:D,FALSE,FALSE)</f>
        <v>Gemeinde13</v>
      </c>
      <c r="C137" s="129" t="s">
        <v>189</v>
      </c>
      <c r="D137" s="126" t="s">
        <v>326</v>
      </c>
      <c r="E137" s="126">
        <v>0.4</v>
      </c>
    </row>
    <row r="138" spans="1:5">
      <c r="A138" t="s">
        <v>614</v>
      </c>
      <c r="B138" s="127" t="str">
        <f>"Gemeinde"&amp;_xlfn.XLOOKUP(A138,Auswahlliste!E:E,Auswahlliste!D:D,FALSE,FALSE)</f>
        <v>Gemeinde13</v>
      </c>
      <c r="C138" s="129" t="s">
        <v>435</v>
      </c>
      <c r="D138" s="126" t="s">
        <v>367</v>
      </c>
      <c r="E138" s="126">
        <v>0.2</v>
      </c>
    </row>
    <row r="139" spans="1:5">
      <c r="A139" t="s">
        <v>614</v>
      </c>
      <c r="B139" s="127" t="str">
        <f>"Gemeinde"&amp;_xlfn.XLOOKUP(A139,Auswahlliste!E:E,Auswahlliste!D:D,FALSE,FALSE)</f>
        <v>Gemeinde13</v>
      </c>
      <c r="C139" s="129" t="s">
        <v>461</v>
      </c>
      <c r="D139" s="126" t="s">
        <v>462</v>
      </c>
      <c r="E139" s="126">
        <v>0.6</v>
      </c>
    </row>
    <row r="140" spans="1:5">
      <c r="A140" t="s">
        <v>614</v>
      </c>
      <c r="B140" s="127" t="str">
        <f>"Gemeinde"&amp;_xlfn.XLOOKUP(A140,Auswahlliste!E:E,Auswahlliste!D:D,FALSE,FALSE)</f>
        <v>Gemeinde13</v>
      </c>
      <c r="C140" s="129" t="s">
        <v>463</v>
      </c>
      <c r="D140" s="126" t="s">
        <v>464</v>
      </c>
      <c r="E140" s="126">
        <v>0.6</v>
      </c>
    </row>
    <row r="141" spans="1:5">
      <c r="A141" t="s">
        <v>614</v>
      </c>
      <c r="B141" s="127" t="str">
        <f>"Gemeinde"&amp;_xlfn.XLOOKUP(A141,Auswahlliste!E:E,Auswahlliste!D:D,FALSE,FALSE)</f>
        <v>Gemeinde13</v>
      </c>
      <c r="C141" s="129" t="s">
        <v>466</v>
      </c>
      <c r="D141" s="126" t="s">
        <v>371</v>
      </c>
      <c r="E141" s="126">
        <v>0.55000000000000004</v>
      </c>
    </row>
    <row r="142" spans="1:5">
      <c r="A142" t="s">
        <v>614</v>
      </c>
      <c r="B142" s="127" t="str">
        <f>"Gemeinde"&amp;_xlfn.XLOOKUP(A142,Auswahlliste!E:E,Auswahlliste!D:D,FALSE,FALSE)</f>
        <v>Gemeinde13</v>
      </c>
      <c r="C142" s="129" t="s">
        <v>15</v>
      </c>
      <c r="D142" s="126" t="s">
        <v>317</v>
      </c>
      <c r="E142" s="126">
        <v>0.3</v>
      </c>
    </row>
    <row r="143" spans="1:5">
      <c r="A143" t="s">
        <v>94</v>
      </c>
      <c r="B143" s="127" t="str">
        <f>"Gemeinde"&amp;_xlfn.XLOOKUP(A143,Auswahlliste!E:E,Auswahlliste!D:D,FALSE,FALSE)</f>
        <v>Gemeinde14</v>
      </c>
      <c r="C143" s="129" t="s">
        <v>536</v>
      </c>
      <c r="D143" s="126" t="s">
        <v>453</v>
      </c>
      <c r="E143" s="126">
        <v>0.1</v>
      </c>
    </row>
    <row r="144" spans="1:5">
      <c r="A144" t="s">
        <v>48</v>
      </c>
      <c r="B144" s="127" t="str">
        <f>"Gemeinde"&amp;_xlfn.XLOOKUP(A144,Auswahlliste!E:E,Auswahlliste!D:D,FALSE,FALSE)</f>
        <v>Gemeinde15</v>
      </c>
      <c r="C144" s="129" t="s">
        <v>402</v>
      </c>
      <c r="D144" s="127" t="s">
        <v>368</v>
      </c>
      <c r="E144" s="126">
        <v>0.1</v>
      </c>
    </row>
    <row r="145" spans="1:5">
      <c r="A145" t="s">
        <v>48</v>
      </c>
      <c r="B145" s="127" t="str">
        <f>"Gemeinde"&amp;_xlfn.XLOOKUP(A145,Auswahlliste!E:E,Auswahlliste!D:D,FALSE,FALSE)</f>
        <v>Gemeinde15</v>
      </c>
      <c r="C145" s="129" t="s">
        <v>403</v>
      </c>
      <c r="D145" s="127" t="s">
        <v>404</v>
      </c>
      <c r="E145" s="126">
        <v>0.1</v>
      </c>
    </row>
    <row r="146" spans="1:5">
      <c r="A146" t="s">
        <v>48</v>
      </c>
      <c r="B146" s="127" t="str">
        <f>"Gemeinde"&amp;_xlfn.XLOOKUP(A146,Auswahlliste!E:E,Auswahlliste!D:D,FALSE,FALSE)</f>
        <v>Gemeinde15</v>
      </c>
      <c r="C146" s="129" t="s">
        <v>189</v>
      </c>
      <c r="D146" s="127" t="s">
        <v>326</v>
      </c>
      <c r="E146" s="126">
        <v>0.15</v>
      </c>
    </row>
    <row r="147" spans="1:5">
      <c r="A147" t="s">
        <v>48</v>
      </c>
      <c r="B147" s="127" t="str">
        <f>"Gemeinde"&amp;_xlfn.XLOOKUP(A147,Auswahlliste!E:E,Auswahlliste!D:D,FALSE,FALSE)</f>
        <v>Gemeinde15</v>
      </c>
      <c r="C147" s="129" t="s">
        <v>405</v>
      </c>
      <c r="D147" s="127" t="s">
        <v>332</v>
      </c>
      <c r="E147" s="126">
        <v>0.15</v>
      </c>
    </row>
    <row r="148" spans="1:5">
      <c r="A148" t="s">
        <v>48</v>
      </c>
      <c r="B148" s="127" t="str">
        <f>"Gemeinde"&amp;_xlfn.XLOOKUP(A148,Auswahlliste!E:E,Auswahlliste!D:D,FALSE,FALSE)</f>
        <v>Gemeinde15</v>
      </c>
      <c r="C148" s="133" t="s">
        <v>380</v>
      </c>
      <c r="D148" s="31" t="s">
        <v>334</v>
      </c>
      <c r="E148" s="136">
        <v>0.15</v>
      </c>
    </row>
    <row r="149" spans="1:5">
      <c r="A149" t="s">
        <v>48</v>
      </c>
      <c r="B149" s="127" t="str">
        <f>"Gemeinde"&amp;_xlfn.XLOOKUP(A149,Auswahlliste!E:E,Auswahlliste!D:D,FALSE,FALSE)</f>
        <v>Gemeinde15</v>
      </c>
      <c r="C149" s="129" t="s">
        <v>427</v>
      </c>
      <c r="D149" s="127" t="s">
        <v>361</v>
      </c>
      <c r="E149" s="126">
        <v>0.2</v>
      </c>
    </row>
    <row r="150" spans="1:5">
      <c r="A150" t="s">
        <v>48</v>
      </c>
      <c r="B150" s="127" t="str">
        <f>"Gemeinde"&amp;_xlfn.XLOOKUP(A150,Auswahlliste!E:E,Auswahlliste!D:D,FALSE,FALSE)</f>
        <v>Gemeinde15</v>
      </c>
      <c r="C150" s="129" t="s">
        <v>755</v>
      </c>
      <c r="D150" s="127" t="s">
        <v>429</v>
      </c>
      <c r="E150" s="126">
        <v>0.3</v>
      </c>
    </row>
    <row r="151" spans="1:5">
      <c r="A151" t="s">
        <v>48</v>
      </c>
      <c r="B151" s="127" t="str">
        <f>"Gemeinde"&amp;_xlfn.XLOOKUP(A151,Auswahlliste!E:E,Auswahlliste!D:D,FALSE,FALSE)</f>
        <v>Gemeinde15</v>
      </c>
      <c r="C151" s="129" t="s">
        <v>430</v>
      </c>
      <c r="D151" s="127" t="s">
        <v>431</v>
      </c>
      <c r="E151" s="126">
        <v>0.3</v>
      </c>
    </row>
    <row r="152" spans="1:5">
      <c r="A152" t="s">
        <v>48</v>
      </c>
      <c r="B152" s="127" t="str">
        <f>"Gemeinde"&amp;_xlfn.XLOOKUP(A152,Auswahlliste!E:E,Auswahlliste!D:D,FALSE,FALSE)</f>
        <v>Gemeinde15</v>
      </c>
      <c r="C152" s="129" t="s">
        <v>340</v>
      </c>
      <c r="D152" s="127" t="s">
        <v>341</v>
      </c>
      <c r="E152" s="126">
        <v>0.3</v>
      </c>
    </row>
    <row r="153" spans="1:5">
      <c r="A153" t="s">
        <v>48</v>
      </c>
      <c r="B153" s="127" t="str">
        <f>"Gemeinde"&amp;_xlfn.XLOOKUP(A153,Auswahlliste!E:E,Auswahlliste!D:D,FALSE,FALSE)</f>
        <v>Gemeinde15</v>
      </c>
      <c r="C153" s="129" t="s">
        <v>343</v>
      </c>
      <c r="D153" s="127" t="s">
        <v>314</v>
      </c>
      <c r="E153" s="126">
        <v>0.2</v>
      </c>
    </row>
    <row r="154" spans="1:5">
      <c r="A154" t="s">
        <v>48</v>
      </c>
      <c r="B154" s="127" t="str">
        <f>"Gemeinde"&amp;_xlfn.XLOOKUP(A154,Auswahlliste!E:E,Auswahlliste!D:D,FALSE,FALSE)</f>
        <v>Gemeinde15</v>
      </c>
      <c r="C154" s="129" t="s">
        <v>409</v>
      </c>
      <c r="D154" s="127" t="s">
        <v>432</v>
      </c>
      <c r="E154" s="126">
        <v>0.2</v>
      </c>
    </row>
    <row r="155" spans="1:5">
      <c r="A155" t="s">
        <v>48</v>
      </c>
      <c r="B155" s="127" t="str">
        <f>"Gemeinde"&amp;_xlfn.XLOOKUP(A155,Auswahlliste!E:E,Auswahlliste!D:D,FALSE,FALSE)</f>
        <v>Gemeinde15</v>
      </c>
      <c r="C155" s="129" t="s">
        <v>15</v>
      </c>
      <c r="D155" s="127" t="s">
        <v>386</v>
      </c>
      <c r="E155" s="126">
        <v>0.15</v>
      </c>
    </row>
    <row r="156" spans="1:5">
      <c r="A156" t="s">
        <v>82</v>
      </c>
      <c r="B156" s="127" t="str">
        <f>"Gemeinde"&amp;_xlfn.XLOOKUP(A156,Auswahlliste!E:E,Auswahlliste!D:D,FALSE,FALSE)</f>
        <v>Gemeinde16</v>
      </c>
      <c r="C156" s="129" t="s">
        <v>439</v>
      </c>
      <c r="D156" s="126" t="s">
        <v>375</v>
      </c>
      <c r="E156" s="126">
        <v>0.25</v>
      </c>
    </row>
    <row r="157" spans="1:5">
      <c r="A157" t="s">
        <v>82</v>
      </c>
      <c r="B157" s="127" t="str">
        <f>"Gemeinde"&amp;_xlfn.XLOOKUP(A157,Auswahlliste!E:E,Auswahlliste!D:D,FALSE,FALSE)</f>
        <v>Gemeinde16</v>
      </c>
      <c r="C157" s="129" t="s">
        <v>435</v>
      </c>
      <c r="D157" s="126" t="s">
        <v>367</v>
      </c>
      <c r="E157" s="126">
        <v>0.3</v>
      </c>
    </row>
    <row r="158" spans="1:5">
      <c r="A158" t="s">
        <v>82</v>
      </c>
      <c r="B158" s="127" t="str">
        <f>"Gemeinde"&amp;_xlfn.XLOOKUP(A158,Auswahlliste!E:E,Auswahlliste!D:D,FALSE,FALSE)</f>
        <v>Gemeinde16</v>
      </c>
      <c r="C158" s="129" t="s">
        <v>189</v>
      </c>
      <c r="D158" s="126" t="s">
        <v>326</v>
      </c>
      <c r="E158" s="126">
        <v>0.4</v>
      </c>
    </row>
    <row r="159" spans="1:5">
      <c r="A159" t="s">
        <v>82</v>
      </c>
      <c r="B159" s="127" t="str">
        <f>"Gemeinde"&amp;_xlfn.XLOOKUP(A159,Auswahlliste!E:E,Auswahlliste!D:D,FALSE,FALSE)</f>
        <v>Gemeinde16</v>
      </c>
      <c r="C159" s="129" t="s">
        <v>190</v>
      </c>
      <c r="D159" s="126" t="s">
        <v>355</v>
      </c>
      <c r="E159" s="126">
        <v>0.45</v>
      </c>
    </row>
    <row r="160" spans="1:5">
      <c r="A160" t="s">
        <v>82</v>
      </c>
      <c r="B160" s="127" t="str">
        <f>"Gemeinde"&amp;_xlfn.XLOOKUP(A160,Auswahlliste!E:E,Auswahlliste!D:D,FALSE,FALSE)</f>
        <v>Gemeinde16</v>
      </c>
      <c r="C160" s="129" t="s">
        <v>473</v>
      </c>
      <c r="D160" s="126" t="s">
        <v>332</v>
      </c>
      <c r="E160" s="126">
        <v>0.35</v>
      </c>
    </row>
    <row r="161" spans="1:5">
      <c r="A161" t="s">
        <v>82</v>
      </c>
      <c r="B161" s="127" t="str">
        <f>"Gemeinde"&amp;_xlfn.XLOOKUP(A161,Auswahlliste!E:E,Auswahlliste!D:D,FALSE,FALSE)</f>
        <v>Gemeinde16</v>
      </c>
      <c r="C161" s="129" t="s">
        <v>474</v>
      </c>
      <c r="D161" s="126" t="s">
        <v>334</v>
      </c>
      <c r="E161" s="126">
        <v>0.4</v>
      </c>
    </row>
    <row r="162" spans="1:5">
      <c r="A162" t="s">
        <v>82</v>
      </c>
      <c r="B162" s="127" t="str">
        <f>"Gemeinde"&amp;_xlfn.XLOOKUP(A162,Auswahlliste!E:E,Auswahlliste!D:D,FALSE,FALSE)</f>
        <v>Gemeinde16</v>
      </c>
      <c r="C162" s="129" t="s">
        <v>475</v>
      </c>
      <c r="D162" s="126" t="s">
        <v>361</v>
      </c>
      <c r="E162" s="126">
        <v>0.45</v>
      </c>
    </row>
    <row r="163" spans="1:5">
      <c r="A163" t="s">
        <v>82</v>
      </c>
      <c r="B163" s="127" t="str">
        <f>"Gemeinde"&amp;_xlfn.XLOOKUP(A163,Auswahlliste!E:E,Auswahlliste!D:D,FALSE,FALSE)</f>
        <v>Gemeinde16</v>
      </c>
      <c r="C163" s="133" t="s">
        <v>397</v>
      </c>
      <c r="D163" s="126" t="s">
        <v>309</v>
      </c>
      <c r="E163" s="126">
        <v>0.5</v>
      </c>
    </row>
    <row r="164" spans="1:5">
      <c r="A164" t="s">
        <v>82</v>
      </c>
      <c r="B164" s="127" t="str">
        <f>"Gemeinde"&amp;_xlfn.XLOOKUP(A164,Auswahlliste!E:E,Auswahlliste!D:D,FALSE,FALSE)</f>
        <v>Gemeinde16</v>
      </c>
      <c r="C164" s="129" t="s">
        <v>340</v>
      </c>
      <c r="D164" s="126" t="s">
        <v>341</v>
      </c>
      <c r="E164" s="126">
        <v>0.5</v>
      </c>
    </row>
    <row r="165" spans="1:5">
      <c r="A165" t="s">
        <v>82</v>
      </c>
      <c r="B165" s="127" t="str">
        <f>"Gemeinde"&amp;_xlfn.XLOOKUP(A165,Auswahlliste!E:E,Auswahlliste!D:D,FALSE,FALSE)</f>
        <v>Gemeinde16</v>
      </c>
      <c r="C165" s="129" t="s">
        <v>197</v>
      </c>
      <c r="D165" s="126" t="s">
        <v>346</v>
      </c>
      <c r="E165" s="126">
        <v>0.45</v>
      </c>
    </row>
    <row r="166" spans="1:5">
      <c r="A166" t="s">
        <v>82</v>
      </c>
      <c r="B166" s="127" t="str">
        <f>"Gemeinde"&amp;_xlfn.XLOOKUP(A166,Auswahlliste!E:E,Auswahlliste!D:D,FALSE,FALSE)</f>
        <v>Gemeinde16</v>
      </c>
      <c r="C166" s="129" t="s">
        <v>198</v>
      </c>
      <c r="D166" s="126" t="s">
        <v>314</v>
      </c>
      <c r="E166" s="126">
        <v>0.5</v>
      </c>
    </row>
    <row r="167" spans="1:5">
      <c r="A167" t="s">
        <v>82</v>
      </c>
      <c r="B167" s="127" t="str">
        <f>"Gemeinde"&amp;_xlfn.XLOOKUP(A167,Auswahlliste!E:E,Auswahlliste!D:D,FALSE,FALSE)</f>
        <v>Gemeinde16</v>
      </c>
      <c r="C167" s="129" t="s">
        <v>15</v>
      </c>
      <c r="D167" s="126" t="s">
        <v>386</v>
      </c>
      <c r="E167" s="126">
        <v>0.3</v>
      </c>
    </row>
    <row r="168" spans="1:5">
      <c r="A168" t="s">
        <v>39</v>
      </c>
      <c r="B168" s="127" t="str">
        <f>"Gemeinde"&amp;_xlfn.XLOOKUP(A168,Auswahlliste!E:E,Auswahlliste!D:D,FALSE,FALSE)</f>
        <v>Gemeinde17</v>
      </c>
      <c r="C168" s="129" t="s">
        <v>439</v>
      </c>
      <c r="D168" s="126" t="s">
        <v>375</v>
      </c>
      <c r="E168" s="126">
        <v>0.3</v>
      </c>
    </row>
    <row r="169" spans="1:5">
      <c r="A169" t="s">
        <v>39</v>
      </c>
      <c r="B169" s="127" t="str">
        <f>"Gemeinde"&amp;_xlfn.XLOOKUP(A169,Auswahlliste!E:E,Auswahlliste!D:D,FALSE,FALSE)</f>
        <v>Gemeinde17</v>
      </c>
      <c r="C169" s="129" t="s">
        <v>435</v>
      </c>
      <c r="D169" s="126" t="s">
        <v>367</v>
      </c>
      <c r="E169" s="126">
        <v>0.3</v>
      </c>
    </row>
    <row r="170" spans="1:5">
      <c r="A170" t="s">
        <v>39</v>
      </c>
      <c r="B170" s="127" t="str">
        <f>"Gemeinde"&amp;_xlfn.XLOOKUP(A170,Auswahlliste!E:E,Auswahlliste!D:D,FALSE,FALSE)</f>
        <v>Gemeinde17</v>
      </c>
      <c r="C170" s="129" t="s">
        <v>189</v>
      </c>
      <c r="D170" s="126" t="s">
        <v>326</v>
      </c>
      <c r="E170" s="126">
        <v>0.25</v>
      </c>
    </row>
    <row r="171" spans="1:5">
      <c r="A171" t="s">
        <v>39</v>
      </c>
      <c r="B171" s="127" t="str">
        <f>"Gemeinde"&amp;_xlfn.XLOOKUP(A171,Auswahlliste!E:E,Auswahlliste!D:D,FALSE,FALSE)</f>
        <v>Gemeinde17</v>
      </c>
      <c r="C171" s="129" t="s">
        <v>473</v>
      </c>
      <c r="D171" s="126" t="s">
        <v>332</v>
      </c>
      <c r="E171" s="126">
        <v>0.3</v>
      </c>
    </row>
    <row r="172" spans="1:5">
      <c r="A172" t="s">
        <v>39</v>
      </c>
      <c r="B172" s="127" t="str">
        <f>"Gemeinde"&amp;_xlfn.XLOOKUP(A172,Auswahlliste!E:E,Auswahlliste!D:D,FALSE,FALSE)</f>
        <v>Gemeinde17</v>
      </c>
      <c r="C172" s="129" t="s">
        <v>474</v>
      </c>
      <c r="D172" s="126" t="s">
        <v>334</v>
      </c>
      <c r="E172" s="126">
        <v>0.35</v>
      </c>
    </row>
    <row r="173" spans="1:5">
      <c r="A173" t="s">
        <v>39</v>
      </c>
      <c r="B173" s="127" t="str">
        <f>"Gemeinde"&amp;_xlfn.XLOOKUP(A173,Auswahlliste!E:E,Auswahlliste!D:D,FALSE,FALSE)</f>
        <v>Gemeinde17</v>
      </c>
      <c r="C173" s="129" t="s">
        <v>517</v>
      </c>
      <c r="D173" s="126" t="s">
        <v>309</v>
      </c>
      <c r="E173" s="126">
        <v>0.35</v>
      </c>
    </row>
    <row r="174" spans="1:5">
      <c r="A174" t="s">
        <v>39</v>
      </c>
      <c r="B174" s="127" t="str">
        <f>"Gemeinde"&amp;_xlfn.XLOOKUP(A174,Auswahlliste!E:E,Auswahlliste!D:D,FALSE,FALSE)</f>
        <v>Gemeinde17</v>
      </c>
      <c r="C174" s="129" t="s">
        <v>482</v>
      </c>
      <c r="D174" s="126" t="s">
        <v>344</v>
      </c>
      <c r="E174" s="126">
        <v>0.3</v>
      </c>
    </row>
    <row r="175" spans="1:5">
      <c r="A175" t="s">
        <v>39</v>
      </c>
      <c r="B175" s="127" t="str">
        <f>"Gemeinde"&amp;_xlfn.XLOOKUP(A175,Auswahlliste!E:E,Auswahlliste!D:D,FALSE,FALSE)</f>
        <v>Gemeinde17</v>
      </c>
      <c r="C175" s="129" t="s">
        <v>15</v>
      </c>
      <c r="D175" s="126" t="s">
        <v>386</v>
      </c>
      <c r="E175" s="126">
        <v>0.2</v>
      </c>
    </row>
    <row r="176" spans="1:5">
      <c r="A176" t="s">
        <v>53</v>
      </c>
      <c r="B176" s="127" t="str">
        <f>"Gemeinde"&amp;_xlfn.XLOOKUP(A176,Auswahlliste!E:E,Auswahlliste!D:D,FALSE,FALSE)</f>
        <v>Gemeinde18</v>
      </c>
      <c r="C176" s="133" t="s">
        <v>435</v>
      </c>
      <c r="D176" s="31" t="s">
        <v>367</v>
      </c>
      <c r="E176" s="136">
        <v>0.35</v>
      </c>
    </row>
    <row r="177" spans="1:5">
      <c r="A177" t="s">
        <v>53</v>
      </c>
      <c r="B177" s="127" t="str">
        <f>"Gemeinde"&amp;_xlfn.XLOOKUP(A177,Auswahlliste!E:E,Auswahlliste!D:D,FALSE,FALSE)</f>
        <v>Gemeinde18</v>
      </c>
      <c r="C177" s="129" t="s">
        <v>402</v>
      </c>
      <c r="D177" s="127" t="s">
        <v>368</v>
      </c>
      <c r="E177" s="126">
        <v>0.35</v>
      </c>
    </row>
    <row r="178" spans="1:5">
      <c r="A178" t="s">
        <v>53</v>
      </c>
      <c r="B178" s="127" t="str">
        <f>"Gemeinde"&amp;_xlfn.XLOOKUP(A178,Auswahlliste!E:E,Auswahlliste!D:D,FALSE,FALSE)</f>
        <v>Gemeinde18</v>
      </c>
      <c r="C178" s="129" t="s">
        <v>189</v>
      </c>
      <c r="D178" s="127" t="s">
        <v>326</v>
      </c>
      <c r="E178" s="126">
        <v>0.4</v>
      </c>
    </row>
    <row r="179" spans="1:5">
      <c r="A179" t="s">
        <v>53</v>
      </c>
      <c r="B179" s="127" t="str">
        <f>"Gemeinde"&amp;_xlfn.XLOOKUP(A179,Auswahlliste!E:E,Auswahlliste!D:D,FALSE,FALSE)</f>
        <v>Gemeinde18</v>
      </c>
      <c r="C179" s="129" t="s">
        <v>756</v>
      </c>
      <c r="D179" s="127" t="s">
        <v>332</v>
      </c>
      <c r="E179" s="126">
        <v>0.4</v>
      </c>
    </row>
    <row r="180" spans="1:5">
      <c r="A180" t="s">
        <v>53</v>
      </c>
      <c r="B180" s="127" t="str">
        <f>"Gemeinde"&amp;_xlfn.XLOOKUP(A180,Auswahlliste!E:E,Auswahlliste!D:D,FALSE,FALSE)</f>
        <v>Gemeinde18</v>
      </c>
      <c r="C180" s="129" t="s">
        <v>757</v>
      </c>
      <c r="D180" s="127" t="s">
        <v>334</v>
      </c>
      <c r="E180" s="126">
        <v>0.45</v>
      </c>
    </row>
    <row r="181" spans="1:5">
      <c r="A181" t="s">
        <v>53</v>
      </c>
      <c r="B181" s="127" t="str">
        <f>"Gemeinde"&amp;_xlfn.XLOOKUP(A181,Auswahlliste!E:E,Auswahlliste!D:D,FALSE,FALSE)</f>
        <v>Gemeinde18</v>
      </c>
      <c r="C181" s="129" t="s">
        <v>758</v>
      </c>
      <c r="D181" s="127" t="s">
        <v>361</v>
      </c>
      <c r="E181" s="126">
        <v>0.5</v>
      </c>
    </row>
    <row r="182" spans="1:5">
      <c r="A182" t="s">
        <v>53</v>
      </c>
      <c r="B182" s="127" t="str">
        <f>"Gemeinde"&amp;_xlfn.XLOOKUP(A182,Auswahlliste!E:E,Auswahlliste!D:D,FALSE,FALSE)</f>
        <v>Gemeinde18</v>
      </c>
      <c r="C182" s="129" t="s">
        <v>370</v>
      </c>
      <c r="D182" s="127" t="s">
        <v>371</v>
      </c>
      <c r="E182" s="126">
        <v>0.6</v>
      </c>
    </row>
    <row r="183" spans="1:5">
      <c r="A183" t="s">
        <v>53</v>
      </c>
      <c r="B183" s="127" t="str">
        <f>"Gemeinde"&amp;_xlfn.XLOOKUP(A183,Auswahlliste!E:E,Auswahlliste!D:D,FALSE,FALSE)</f>
        <v>Gemeinde18</v>
      </c>
      <c r="C183" s="129" t="s">
        <v>343</v>
      </c>
      <c r="D183" s="127" t="s">
        <v>344</v>
      </c>
      <c r="E183" s="126">
        <v>0.6</v>
      </c>
    </row>
    <row r="184" spans="1:5">
      <c r="A184" t="s">
        <v>53</v>
      </c>
      <c r="B184" s="127" t="str">
        <f>"Gemeinde"&amp;_xlfn.XLOOKUP(A184,Auswahlliste!E:E,Auswahlliste!D:D,FALSE,FALSE)</f>
        <v>Gemeinde18</v>
      </c>
      <c r="C184" s="133" t="s">
        <v>308</v>
      </c>
      <c r="D184" s="31" t="s">
        <v>309</v>
      </c>
      <c r="E184" s="136">
        <v>0.1</v>
      </c>
    </row>
    <row r="185" spans="1:5">
      <c r="A185" t="s">
        <v>53</v>
      </c>
      <c r="B185" s="127" t="str">
        <f>"Gemeinde"&amp;_xlfn.XLOOKUP(A185,Auswahlliste!E:E,Auswahlliste!D:D,FALSE,FALSE)</f>
        <v>Gemeinde18</v>
      </c>
      <c r="C185" s="129" t="s">
        <v>315</v>
      </c>
      <c r="D185" s="127" t="s">
        <v>317</v>
      </c>
      <c r="E185" s="126">
        <v>0.5</v>
      </c>
    </row>
    <row r="186" spans="1:5">
      <c r="A186" t="s">
        <v>53</v>
      </c>
      <c r="B186" s="127" t="str">
        <f>"Gemeinde"&amp;_xlfn.XLOOKUP(A186,Auswahlliste!E:E,Auswahlliste!D:D,FALSE,FALSE)</f>
        <v>Gemeinde18</v>
      </c>
      <c r="C186" s="129" t="s">
        <v>342</v>
      </c>
      <c r="D186" s="127" t="s">
        <v>372</v>
      </c>
      <c r="E186" s="126">
        <v>0.3</v>
      </c>
    </row>
    <row r="187" spans="1:5">
      <c r="A187" t="s">
        <v>53</v>
      </c>
      <c r="B187" s="127" t="str">
        <f>"Gemeinde"&amp;_xlfn.XLOOKUP(A187,Auswahlliste!E:E,Auswahlliste!D:D,FALSE,FALSE)</f>
        <v>Gemeinde18</v>
      </c>
      <c r="C187" s="129" t="s">
        <v>305</v>
      </c>
      <c r="D187" s="127" t="s">
        <v>306</v>
      </c>
      <c r="E187" s="126">
        <v>0.1</v>
      </c>
    </row>
    <row r="188" spans="1:5">
      <c r="A188" t="s">
        <v>53</v>
      </c>
      <c r="B188" s="127" t="str">
        <f>"Gemeinde"&amp;_xlfn.XLOOKUP(A188,Auswahlliste!E:E,Auswahlliste!D:D,FALSE,FALSE)</f>
        <v>Gemeinde18</v>
      </c>
      <c r="C188" s="129" t="s">
        <v>373</v>
      </c>
      <c r="D188" s="127" t="s">
        <v>374</v>
      </c>
      <c r="E188" s="126">
        <v>0.8</v>
      </c>
    </row>
    <row r="189" spans="1:5">
      <c r="A189" t="s">
        <v>93</v>
      </c>
      <c r="B189" s="127" t="str">
        <f>"Gemeinde"&amp;_xlfn.XLOOKUP(A189,Auswahlliste!E:E,Auswahlliste!D:D,FALSE,FALSE)</f>
        <v>Gemeinde20</v>
      </c>
      <c r="C189" s="129" t="s">
        <v>536</v>
      </c>
      <c r="D189" s="126" t="s">
        <v>453</v>
      </c>
      <c r="E189" s="126">
        <v>0.1</v>
      </c>
    </row>
    <row r="190" spans="1:5">
      <c r="A190" t="s">
        <v>67</v>
      </c>
      <c r="B190" s="127" t="str">
        <f>"Gemeinde"&amp;_xlfn.XLOOKUP(A190,Auswahlliste!E:E,Auswahlliste!D:D,FALSE,FALSE)</f>
        <v>Gemeinde21</v>
      </c>
      <c r="C190" s="129" t="s">
        <v>439</v>
      </c>
      <c r="D190" s="127" t="s">
        <v>375</v>
      </c>
      <c r="E190" s="126">
        <v>0.3</v>
      </c>
    </row>
    <row r="191" spans="1:5">
      <c r="A191" t="s">
        <v>67</v>
      </c>
      <c r="B191" s="127" t="str">
        <f>"Gemeinde"&amp;_xlfn.XLOOKUP(A191,Auswahlliste!E:E,Auswahlliste!D:D,FALSE,FALSE)</f>
        <v>Gemeinde21</v>
      </c>
      <c r="C191" s="129" t="s">
        <v>435</v>
      </c>
      <c r="D191" s="127" t="s">
        <v>367</v>
      </c>
      <c r="E191" s="126">
        <v>0.3</v>
      </c>
    </row>
    <row r="192" spans="1:5">
      <c r="A192" t="s">
        <v>67</v>
      </c>
      <c r="B192" s="127" t="str">
        <f>"Gemeinde"&amp;_xlfn.XLOOKUP(A192,Auswahlliste!E:E,Auswahlliste!D:D,FALSE,FALSE)</f>
        <v>Gemeinde21</v>
      </c>
      <c r="C192" s="129" t="s">
        <v>189</v>
      </c>
      <c r="D192" s="127" t="s">
        <v>326</v>
      </c>
      <c r="E192" s="126">
        <v>0.4</v>
      </c>
    </row>
    <row r="193" spans="1:5">
      <c r="A193" t="s">
        <v>67</v>
      </c>
      <c r="B193" s="127" t="str">
        <f>"Gemeinde"&amp;_xlfn.XLOOKUP(A193,Auswahlliste!E:E,Auswahlliste!D:D,FALSE,FALSE)</f>
        <v>Gemeinde21</v>
      </c>
      <c r="C193" s="129" t="s">
        <v>190</v>
      </c>
      <c r="D193" s="127" t="s">
        <v>355</v>
      </c>
      <c r="E193" s="126">
        <v>0.4</v>
      </c>
    </row>
    <row r="194" spans="1:5">
      <c r="A194" t="s">
        <v>67</v>
      </c>
      <c r="B194" s="127" t="str">
        <f>"Gemeinde"&amp;_xlfn.XLOOKUP(A194,Auswahlliste!E:E,Auswahlliste!D:D,FALSE,FALSE)</f>
        <v>Gemeinde21</v>
      </c>
      <c r="C194" s="129" t="s">
        <v>473</v>
      </c>
      <c r="D194" s="127" t="s">
        <v>332</v>
      </c>
      <c r="E194" s="126">
        <v>0.5</v>
      </c>
    </row>
    <row r="195" spans="1:5">
      <c r="A195" t="s">
        <v>67</v>
      </c>
      <c r="B195" s="127" t="str">
        <f>"Gemeinde"&amp;_xlfn.XLOOKUP(A195,Auswahlliste!E:E,Auswahlliste!D:D,FALSE,FALSE)</f>
        <v>Gemeinde21</v>
      </c>
      <c r="C195" s="129" t="s">
        <v>474</v>
      </c>
      <c r="D195" s="127" t="s">
        <v>334</v>
      </c>
      <c r="E195" s="126">
        <v>0.5</v>
      </c>
    </row>
    <row r="196" spans="1:5">
      <c r="A196" t="s">
        <v>67</v>
      </c>
      <c r="B196" s="127" t="str">
        <f>"Gemeinde"&amp;_xlfn.XLOOKUP(A196,Auswahlliste!E:E,Auswahlliste!D:D,FALSE,FALSE)</f>
        <v>Gemeinde21</v>
      </c>
      <c r="C196" s="129" t="s">
        <v>475</v>
      </c>
      <c r="D196" s="127" t="s">
        <v>361</v>
      </c>
      <c r="E196" s="126">
        <v>0.5</v>
      </c>
    </row>
    <row r="197" spans="1:5">
      <c r="A197" t="s">
        <v>67</v>
      </c>
      <c r="B197" s="127" t="str">
        <f>"Gemeinde"&amp;_xlfn.XLOOKUP(A197,Auswahlliste!E:E,Auswahlliste!D:D,FALSE,FALSE)</f>
        <v>Gemeinde21</v>
      </c>
      <c r="C197" s="129" t="s">
        <v>476</v>
      </c>
      <c r="D197" s="127" t="s">
        <v>423</v>
      </c>
      <c r="E197" s="126">
        <v>0.85</v>
      </c>
    </row>
    <row r="198" spans="1:5">
      <c r="A198" t="s">
        <v>67</v>
      </c>
      <c r="B198" s="127" t="str">
        <f>"Gemeinde"&amp;_xlfn.XLOOKUP(A198,Auswahlliste!E:E,Auswahlliste!D:D,FALSE,FALSE)</f>
        <v>Gemeinde21</v>
      </c>
      <c r="C198" s="129" t="s">
        <v>424</v>
      </c>
      <c r="D198" s="127" t="s">
        <v>425</v>
      </c>
      <c r="E198" s="126">
        <v>0.75</v>
      </c>
    </row>
    <row r="199" spans="1:5">
      <c r="A199" t="s">
        <v>67</v>
      </c>
      <c r="B199" s="127" t="str">
        <f>"Gemeinde"&amp;_xlfn.XLOOKUP(A199,Auswahlliste!E:E,Auswahlliste!D:D,FALSE,FALSE)</f>
        <v>Gemeinde21</v>
      </c>
      <c r="C199" s="129" t="s">
        <v>397</v>
      </c>
      <c r="D199" s="127" t="s">
        <v>309</v>
      </c>
      <c r="E199" s="126">
        <v>0.85</v>
      </c>
    </row>
    <row r="200" spans="1:5">
      <c r="A200" t="s">
        <v>67</v>
      </c>
      <c r="B200" s="127" t="str">
        <f>"Gemeinde"&amp;_xlfn.XLOOKUP(A200,Auswahlliste!E:E,Auswahlliste!D:D,FALSE,FALSE)</f>
        <v>Gemeinde21</v>
      </c>
      <c r="C200" s="129" t="s">
        <v>340</v>
      </c>
      <c r="D200" s="127" t="s">
        <v>341</v>
      </c>
      <c r="E200" s="126">
        <v>0.9</v>
      </c>
    </row>
    <row r="201" spans="1:5">
      <c r="A201" t="s">
        <v>67</v>
      </c>
      <c r="B201" s="127" t="str">
        <f>"Gemeinde"&amp;_xlfn.XLOOKUP(A201,Auswahlliste!E:E,Auswahlliste!D:D,FALSE,FALSE)</f>
        <v>Gemeinde21</v>
      </c>
      <c r="C201" s="129" t="s">
        <v>343</v>
      </c>
      <c r="D201" s="127" t="s">
        <v>344</v>
      </c>
      <c r="E201" s="126">
        <v>0.75</v>
      </c>
    </row>
    <row r="202" spans="1:5">
      <c r="A202" t="s">
        <v>67</v>
      </c>
      <c r="B202" s="127" t="str">
        <f>"Gemeinde"&amp;_xlfn.XLOOKUP(A202,Auswahlliste!E:E,Auswahlliste!D:D,FALSE,FALSE)</f>
        <v>Gemeinde21</v>
      </c>
      <c r="C202" s="129" t="s">
        <v>15</v>
      </c>
      <c r="D202" s="127" t="s">
        <v>386</v>
      </c>
      <c r="E202" s="126">
        <v>0.6</v>
      </c>
    </row>
    <row r="203" spans="1:5">
      <c r="A203" t="s">
        <v>67</v>
      </c>
      <c r="B203" s="127" t="str">
        <f>"Gemeinde"&amp;_xlfn.XLOOKUP(A203,Auswahlliste!E:E,Auswahlliste!D:D,FALSE,FALSE)</f>
        <v>Gemeinde21</v>
      </c>
      <c r="C203" s="133" t="s">
        <v>342</v>
      </c>
      <c r="D203" s="31" t="s">
        <v>426</v>
      </c>
      <c r="E203" s="136">
        <v>0.3</v>
      </c>
    </row>
    <row r="204" spans="1:5">
      <c r="A204" t="s">
        <v>103</v>
      </c>
      <c r="B204" s="127" t="str">
        <f>"Gemeinde"&amp;_xlfn.XLOOKUP(A204,Auswahlliste!E:E,Auswahlliste!D:D,FALSE,FALSE)</f>
        <v>Gemeinde22</v>
      </c>
      <c r="C204" s="129" t="s">
        <v>435</v>
      </c>
      <c r="D204" s="126" t="s">
        <v>367</v>
      </c>
      <c r="E204" s="126">
        <v>0.25</v>
      </c>
    </row>
    <row r="205" spans="1:5">
      <c r="A205" t="s">
        <v>103</v>
      </c>
      <c r="B205" s="127" t="str">
        <f>"Gemeinde"&amp;_xlfn.XLOOKUP(A205,Auswahlliste!E:E,Auswahlliste!D:D,FALSE,FALSE)</f>
        <v>Gemeinde22</v>
      </c>
      <c r="C205" s="129" t="s">
        <v>189</v>
      </c>
      <c r="D205" s="126" t="s">
        <v>326</v>
      </c>
      <c r="E205" s="126">
        <v>0.3</v>
      </c>
    </row>
    <row r="206" spans="1:5">
      <c r="A206" t="s">
        <v>103</v>
      </c>
      <c r="B206" s="127" t="str">
        <f>"Gemeinde"&amp;_xlfn.XLOOKUP(A206,Auswahlliste!E:E,Auswahlliste!D:D,FALSE,FALSE)</f>
        <v>Gemeinde22</v>
      </c>
      <c r="C206" s="129" t="s">
        <v>190</v>
      </c>
      <c r="D206" s="126" t="s">
        <v>355</v>
      </c>
      <c r="E206" s="126">
        <v>0.3</v>
      </c>
    </row>
    <row r="207" spans="1:5">
      <c r="A207" t="s">
        <v>103</v>
      </c>
      <c r="B207" s="127" t="str">
        <f>"Gemeinde"&amp;_xlfn.XLOOKUP(A207,Auswahlliste!E:E,Auswahlliste!D:D,FALSE,FALSE)</f>
        <v>Gemeinde22</v>
      </c>
      <c r="C207" s="129" t="s">
        <v>473</v>
      </c>
      <c r="D207" s="126" t="s">
        <v>332</v>
      </c>
      <c r="E207" s="126">
        <v>0.3</v>
      </c>
    </row>
    <row r="208" spans="1:5">
      <c r="A208" t="s">
        <v>103</v>
      </c>
      <c r="B208" s="127" t="str">
        <f>"Gemeinde"&amp;_xlfn.XLOOKUP(A208,Auswahlliste!E:E,Auswahlliste!D:D,FALSE,FALSE)</f>
        <v>Gemeinde22</v>
      </c>
      <c r="C208" s="129" t="s">
        <v>474</v>
      </c>
      <c r="D208" s="126" t="s">
        <v>334</v>
      </c>
      <c r="E208" s="126">
        <v>0.3</v>
      </c>
    </row>
    <row r="209" spans="1:5">
      <c r="A209" t="s">
        <v>103</v>
      </c>
      <c r="B209" s="127" t="str">
        <f>"Gemeinde"&amp;_xlfn.XLOOKUP(A209,Auswahlliste!E:E,Auswahlliste!D:D,FALSE,FALSE)</f>
        <v>Gemeinde22</v>
      </c>
      <c r="C209" s="129" t="s">
        <v>475</v>
      </c>
      <c r="D209" s="126" t="s">
        <v>361</v>
      </c>
      <c r="E209" s="126">
        <v>0.4</v>
      </c>
    </row>
    <row r="210" spans="1:5">
      <c r="A210" t="s">
        <v>103</v>
      </c>
      <c r="B210" s="127" t="str">
        <f>"Gemeinde"&amp;_xlfn.XLOOKUP(A210,Auswahlliste!E:E,Auswahlliste!D:D,FALSE,FALSE)</f>
        <v>Gemeinde22</v>
      </c>
      <c r="C210" s="129" t="s">
        <v>553</v>
      </c>
      <c r="D210" s="126" t="s">
        <v>309</v>
      </c>
      <c r="E210" s="126">
        <v>0</v>
      </c>
    </row>
    <row r="211" spans="1:5">
      <c r="A211" t="s">
        <v>103</v>
      </c>
      <c r="B211" s="127" t="str">
        <f>"Gemeinde"&amp;_xlfn.XLOOKUP(A211,Auswahlliste!E:E,Auswahlliste!D:D,FALSE,FALSE)</f>
        <v>Gemeinde22</v>
      </c>
      <c r="C211" s="129" t="s">
        <v>554</v>
      </c>
      <c r="D211" s="126" t="s">
        <v>341</v>
      </c>
      <c r="E211" s="126">
        <v>0</v>
      </c>
    </row>
    <row r="212" spans="1:5">
      <c r="A212" t="s">
        <v>103</v>
      </c>
      <c r="B212" s="127" t="str">
        <f>"Gemeinde"&amp;_xlfn.XLOOKUP(A212,Auswahlliste!E:E,Auswahlliste!D:D,FALSE,FALSE)</f>
        <v>Gemeinde22</v>
      </c>
      <c r="C212" s="129" t="s">
        <v>343</v>
      </c>
      <c r="D212" s="126" t="s">
        <v>344</v>
      </c>
      <c r="E212" s="126">
        <v>0.45</v>
      </c>
    </row>
    <row r="213" spans="1:5">
      <c r="A213" t="s">
        <v>103</v>
      </c>
      <c r="B213" s="127" t="str">
        <f>"Gemeinde"&amp;_xlfn.XLOOKUP(A213,Auswahlliste!E:E,Auswahlliste!D:D,FALSE,FALSE)</f>
        <v>Gemeinde22</v>
      </c>
      <c r="C213" s="129" t="s">
        <v>555</v>
      </c>
      <c r="D213" s="126" t="s">
        <v>386</v>
      </c>
      <c r="E213" s="126">
        <v>0</v>
      </c>
    </row>
    <row r="214" spans="1:5">
      <c r="A214" t="s">
        <v>103</v>
      </c>
      <c r="B214" s="127" t="str">
        <f>"Gemeinde"&amp;_xlfn.XLOOKUP(A214,Auswahlliste!E:E,Auswahlliste!D:D,FALSE,FALSE)</f>
        <v>Gemeinde22</v>
      </c>
      <c r="C214" s="129" t="s">
        <v>552</v>
      </c>
      <c r="D214" s="126" t="s">
        <v>175</v>
      </c>
      <c r="E214" s="126">
        <v>0.45</v>
      </c>
    </row>
    <row r="215" spans="1:5">
      <c r="A215" t="s">
        <v>57</v>
      </c>
      <c r="B215" s="127" t="str">
        <f>"Gemeinde"&amp;_xlfn.XLOOKUP(A215,Auswahlliste!E:E,Auswahlliste!D:D,FALSE,FALSE)</f>
        <v>Gemeinde23</v>
      </c>
      <c r="C215" s="133" t="s">
        <v>536</v>
      </c>
      <c r="D215" s="136" t="s">
        <v>453</v>
      </c>
      <c r="E215" s="136">
        <v>0.1</v>
      </c>
    </row>
    <row r="216" spans="1:5">
      <c r="A216" t="s">
        <v>34</v>
      </c>
      <c r="B216" s="127" t="str">
        <f>"Gemeinde"&amp;_xlfn.XLOOKUP(A216,Auswahlliste!E:E,Auswahlliste!D:D,FALSE,FALSE)</f>
        <v>Gemeinde24</v>
      </c>
      <c r="C216" s="129" t="s">
        <v>640</v>
      </c>
      <c r="D216" s="126" t="s">
        <v>426</v>
      </c>
      <c r="E216" s="126">
        <v>0.1</v>
      </c>
    </row>
    <row r="217" spans="1:5">
      <c r="A217" t="s">
        <v>34</v>
      </c>
      <c r="B217" s="127" t="str">
        <f>"Gemeinde"&amp;_xlfn.XLOOKUP(A217,Auswahlliste!E:E,Auswahlliste!D:D,FALSE,FALSE)</f>
        <v>Gemeinde24</v>
      </c>
      <c r="C217" s="129" t="s">
        <v>435</v>
      </c>
      <c r="D217" s="126" t="s">
        <v>367</v>
      </c>
      <c r="E217" s="126">
        <v>0.1</v>
      </c>
    </row>
    <row r="218" spans="1:5">
      <c r="A218" t="s">
        <v>34</v>
      </c>
      <c r="B218" s="127" t="str">
        <f>"Gemeinde"&amp;_xlfn.XLOOKUP(A218,Auswahlliste!E:E,Auswahlliste!D:D,FALSE,FALSE)</f>
        <v>Gemeinde24</v>
      </c>
      <c r="C218" s="129" t="s">
        <v>189</v>
      </c>
      <c r="D218" s="126" t="s">
        <v>326</v>
      </c>
      <c r="E218" s="126">
        <v>0.1</v>
      </c>
    </row>
    <row r="219" spans="1:5">
      <c r="A219" t="s">
        <v>34</v>
      </c>
      <c r="B219" s="127" t="str">
        <f>"Gemeinde"&amp;_xlfn.XLOOKUP(A219,Auswahlliste!E:E,Auswahlliste!D:D,FALSE,FALSE)</f>
        <v>Gemeinde24</v>
      </c>
      <c r="C219" s="129" t="s">
        <v>190</v>
      </c>
      <c r="D219" s="126" t="s">
        <v>355</v>
      </c>
      <c r="E219" s="126">
        <v>0.1</v>
      </c>
    </row>
    <row r="220" spans="1:5">
      <c r="A220" t="s">
        <v>34</v>
      </c>
      <c r="B220" s="127" t="str">
        <f>"Gemeinde"&amp;_xlfn.XLOOKUP(A220,Auswahlliste!E:E,Auswahlliste!D:D,FALSE,FALSE)</f>
        <v>Gemeinde24</v>
      </c>
      <c r="C220" s="129" t="s">
        <v>439</v>
      </c>
      <c r="D220" s="126" t="s">
        <v>375</v>
      </c>
      <c r="E220" s="126">
        <v>0.1</v>
      </c>
    </row>
    <row r="221" spans="1:5">
      <c r="A221" t="s">
        <v>34</v>
      </c>
      <c r="B221" s="127" t="str">
        <f>"Gemeinde"&amp;_xlfn.XLOOKUP(A221,Auswahlliste!E:E,Auswahlliste!D:D,FALSE,FALSE)</f>
        <v>Gemeinde24</v>
      </c>
      <c r="C221" s="129" t="s">
        <v>534</v>
      </c>
      <c r="D221" s="126" t="s">
        <v>638</v>
      </c>
      <c r="E221" s="126">
        <v>0.15</v>
      </c>
    </row>
    <row r="222" spans="1:5">
      <c r="A222" t="s">
        <v>34</v>
      </c>
      <c r="B222" s="127" t="str">
        <f>"Gemeinde"&amp;_xlfn.XLOOKUP(A222,Auswahlliste!E:E,Auswahlliste!D:D,FALSE,FALSE)</f>
        <v>Gemeinde24</v>
      </c>
      <c r="C222" s="129" t="s">
        <v>340</v>
      </c>
      <c r="D222" s="126" t="s">
        <v>639</v>
      </c>
      <c r="E222" s="126">
        <v>0.15</v>
      </c>
    </row>
    <row r="223" spans="1:5">
      <c r="A223" t="s">
        <v>34</v>
      </c>
      <c r="B223" s="127" t="str">
        <f>"Gemeinde"&amp;_xlfn.XLOOKUP(A223,Auswahlliste!E:E,Auswahlliste!D:D,FALSE,FALSE)</f>
        <v>Gemeinde24</v>
      </c>
      <c r="C223" s="129" t="s">
        <v>343</v>
      </c>
      <c r="D223" s="126" t="s">
        <v>314</v>
      </c>
      <c r="E223" s="126">
        <v>0.15</v>
      </c>
    </row>
    <row r="224" spans="1:5">
      <c r="A224" t="s">
        <v>34</v>
      </c>
      <c r="B224" s="127" t="str">
        <f>"Gemeinde"&amp;_xlfn.XLOOKUP(A224,Auswahlliste!E:E,Auswahlliste!D:D,FALSE,FALSE)</f>
        <v>Gemeinde24</v>
      </c>
      <c r="C224" s="129" t="s">
        <v>15</v>
      </c>
      <c r="D224" s="126" t="s">
        <v>457</v>
      </c>
      <c r="E224" s="126">
        <v>0.15</v>
      </c>
    </row>
    <row r="225" spans="1:5">
      <c r="A225" t="s">
        <v>34</v>
      </c>
      <c r="B225" s="127" t="str">
        <f>"Gemeinde"&amp;_xlfn.XLOOKUP(A225,Auswahlliste!E:E,Auswahlliste!D:D,FALSE,FALSE)</f>
        <v>Gemeinde24</v>
      </c>
      <c r="C225" s="129" t="s">
        <v>419</v>
      </c>
      <c r="D225" s="126" t="s">
        <v>477</v>
      </c>
      <c r="E225" s="126">
        <v>0.15</v>
      </c>
    </row>
    <row r="226" spans="1:5">
      <c r="A226" t="s">
        <v>34</v>
      </c>
      <c r="B226" s="127" t="str">
        <f>"Gemeinde"&amp;_xlfn.XLOOKUP(A226,Auswahlliste!E:E,Auswahlliste!D:D,FALSE,FALSE)</f>
        <v>Gemeinde24</v>
      </c>
      <c r="C226" s="133" t="s">
        <v>192</v>
      </c>
      <c r="D226" s="134" t="s">
        <v>332</v>
      </c>
      <c r="E226" s="136">
        <v>0.15</v>
      </c>
    </row>
    <row r="227" spans="1:5">
      <c r="A227" t="s">
        <v>34</v>
      </c>
      <c r="B227" s="127" t="str">
        <f>"Gemeinde"&amp;_xlfn.XLOOKUP(A227,Auswahlliste!E:E,Auswahlliste!D:D,FALSE,FALSE)</f>
        <v>Gemeinde24</v>
      </c>
      <c r="C227" s="129" t="s">
        <v>193</v>
      </c>
      <c r="D227" s="126" t="s">
        <v>334</v>
      </c>
      <c r="E227" s="126">
        <v>0.15</v>
      </c>
    </row>
    <row r="228" spans="1:5">
      <c r="A228" t="s">
        <v>34</v>
      </c>
      <c r="B228" s="127" t="str">
        <f>"Gemeinde"&amp;_xlfn.XLOOKUP(A228,Auswahlliste!E:E,Auswahlliste!D:D,FALSE,FALSE)</f>
        <v>Gemeinde24</v>
      </c>
      <c r="C228" s="129" t="s">
        <v>194</v>
      </c>
      <c r="D228" s="126" t="s">
        <v>361</v>
      </c>
      <c r="E228" s="126">
        <v>0.15</v>
      </c>
    </row>
    <row r="229" spans="1:5">
      <c r="A229" t="s">
        <v>75</v>
      </c>
      <c r="B229" s="127" t="str">
        <f>"Gemeinde"&amp;_xlfn.XLOOKUP(A229,Auswahlliste!E:E,Auswahlliste!D:D,FALSE,FALSE)</f>
        <v>Gemeinde25</v>
      </c>
      <c r="C229" s="129" t="s">
        <v>536</v>
      </c>
      <c r="D229" s="126" t="s">
        <v>453</v>
      </c>
      <c r="E229" s="126">
        <v>0.1</v>
      </c>
    </row>
    <row r="230" spans="1:5">
      <c r="A230" t="s">
        <v>75</v>
      </c>
      <c r="B230" s="127" t="str">
        <f>"Gemeinde"&amp;_xlfn.XLOOKUP(A230,Auswahlliste!E:E,Auswahlliste!D:D,FALSE,FALSE)</f>
        <v>Gemeinde25</v>
      </c>
      <c r="C230" s="129" t="s">
        <v>586</v>
      </c>
      <c r="D230" s="126" t="s">
        <v>375</v>
      </c>
      <c r="E230" s="126">
        <v>0.25</v>
      </c>
    </row>
    <row r="231" spans="1:5">
      <c r="A231" t="s">
        <v>75</v>
      </c>
      <c r="B231" s="127" t="str">
        <f>"Gemeinde"&amp;_xlfn.XLOOKUP(A231,Auswahlliste!E:E,Auswahlliste!D:D,FALSE,FALSE)</f>
        <v>Gemeinde25</v>
      </c>
      <c r="C231" s="129" t="s">
        <v>600</v>
      </c>
      <c r="D231" s="126" t="s">
        <v>367</v>
      </c>
      <c r="E231" s="126">
        <v>0.3</v>
      </c>
    </row>
    <row r="232" spans="1:5">
      <c r="A232" t="s">
        <v>75</v>
      </c>
      <c r="B232" s="127" t="str">
        <f>"Gemeinde"&amp;_xlfn.XLOOKUP(A232,Auswahlliste!E:E,Auswahlliste!D:D,FALSE,FALSE)</f>
        <v>Gemeinde25</v>
      </c>
      <c r="C232" s="129" t="s">
        <v>588</v>
      </c>
      <c r="D232" s="126" t="s">
        <v>326</v>
      </c>
      <c r="E232" s="126">
        <v>0.35</v>
      </c>
    </row>
    <row r="233" spans="1:5">
      <c r="A233" t="s">
        <v>75</v>
      </c>
      <c r="B233" s="127" t="str">
        <f>"Gemeinde"&amp;_xlfn.XLOOKUP(A233,Auswahlliste!E:E,Auswahlliste!D:D,FALSE,FALSE)</f>
        <v>Gemeinde25</v>
      </c>
      <c r="C233" s="129" t="s">
        <v>473</v>
      </c>
      <c r="D233" s="126" t="s">
        <v>332</v>
      </c>
      <c r="E233" s="126">
        <v>0.35</v>
      </c>
    </row>
    <row r="234" spans="1:5">
      <c r="A234" t="s">
        <v>75</v>
      </c>
      <c r="B234" s="127" t="str">
        <f>"Gemeinde"&amp;_xlfn.XLOOKUP(A234,Auswahlliste!E:E,Auswahlliste!D:D,FALSE,FALSE)</f>
        <v>Gemeinde25</v>
      </c>
      <c r="C234" s="129" t="s">
        <v>474</v>
      </c>
      <c r="D234" s="126" t="s">
        <v>334</v>
      </c>
      <c r="E234" s="126">
        <v>0.45</v>
      </c>
    </row>
    <row r="235" spans="1:5">
      <c r="A235" t="s">
        <v>75</v>
      </c>
      <c r="B235" s="127" t="str">
        <f>"Gemeinde"&amp;_xlfn.XLOOKUP(A235,Auswahlliste!E:E,Auswahlliste!D:D,FALSE,FALSE)</f>
        <v>Gemeinde25</v>
      </c>
      <c r="C235" s="129" t="s">
        <v>592</v>
      </c>
      <c r="D235" s="126" t="s">
        <v>371</v>
      </c>
      <c r="E235" s="126">
        <v>0.55000000000000004</v>
      </c>
    </row>
    <row r="236" spans="1:5">
      <c r="A236" t="s">
        <v>75</v>
      </c>
      <c r="B236" s="127" t="str">
        <f>"Gemeinde"&amp;_xlfn.XLOOKUP(A236,Auswahlliste!E:E,Auswahlliste!D:D,FALSE,FALSE)</f>
        <v>Gemeinde25</v>
      </c>
      <c r="C236" s="129" t="s">
        <v>340</v>
      </c>
      <c r="D236" s="126" t="s">
        <v>341</v>
      </c>
      <c r="E236" s="126">
        <v>0.7</v>
      </c>
    </row>
    <row r="237" spans="1:5">
      <c r="A237" t="s">
        <v>75</v>
      </c>
      <c r="B237" s="127" t="str">
        <f>"Gemeinde"&amp;_xlfn.XLOOKUP(A237,Auswahlliste!E:E,Auswahlliste!D:D,FALSE,FALSE)</f>
        <v>Gemeinde25</v>
      </c>
      <c r="C237" s="133" t="s">
        <v>343</v>
      </c>
      <c r="D237" s="134" t="s">
        <v>344</v>
      </c>
      <c r="E237" s="136">
        <v>0.45</v>
      </c>
    </row>
    <row r="238" spans="1:5">
      <c r="A238" t="s">
        <v>75</v>
      </c>
      <c r="B238" s="127" t="str">
        <f>"Gemeinde"&amp;_xlfn.XLOOKUP(A238,Auswahlliste!E:E,Auswahlliste!D:D,FALSE,FALSE)</f>
        <v>Gemeinde25</v>
      </c>
      <c r="C238" s="129" t="s">
        <v>15</v>
      </c>
      <c r="D238" s="126" t="s">
        <v>386</v>
      </c>
      <c r="E238" s="126">
        <v>0.15</v>
      </c>
    </row>
    <row r="239" spans="1:5">
      <c r="A239" t="s">
        <v>75</v>
      </c>
      <c r="B239" s="127" t="str">
        <f>"Gemeinde"&amp;_xlfn.XLOOKUP(A239,Auswahlliste!E:E,Auswahlliste!D:D,FALSE,FALSE)</f>
        <v>Gemeinde25</v>
      </c>
      <c r="C239" s="129" t="s">
        <v>342</v>
      </c>
      <c r="D239" s="126" t="s">
        <v>426</v>
      </c>
      <c r="E239" s="126">
        <v>0</v>
      </c>
    </row>
    <row r="240" spans="1:5">
      <c r="A240" t="s">
        <v>75</v>
      </c>
      <c r="B240" s="127" t="str">
        <f>"Gemeinde"&amp;_xlfn.XLOOKUP(A240,Auswahlliste!E:E,Auswahlliste!D:D,FALSE,FALSE)</f>
        <v>Gemeinde25</v>
      </c>
      <c r="C240" s="129" t="s">
        <v>419</v>
      </c>
      <c r="D240" s="126" t="s">
        <v>395</v>
      </c>
      <c r="E240" s="126">
        <v>0</v>
      </c>
    </row>
    <row r="241" spans="1:5">
      <c r="A241" t="s">
        <v>100</v>
      </c>
      <c r="B241" s="127" t="str">
        <f>"Gemeinde"&amp;_xlfn.XLOOKUP(A241,Auswahlliste!E:E,Auswahlliste!D:D,FALSE,FALSE)</f>
        <v>Gemeinde26</v>
      </c>
      <c r="C241" s="129" t="s">
        <v>536</v>
      </c>
      <c r="D241" s="126" t="s">
        <v>453</v>
      </c>
      <c r="E241" s="126">
        <v>0.1</v>
      </c>
    </row>
    <row r="242" spans="1:5">
      <c r="A242" t="s">
        <v>58</v>
      </c>
      <c r="B242" s="127" t="str">
        <f>"Gemeinde"&amp;_xlfn.XLOOKUP(A242,Auswahlliste!E:E,Auswahlliste!D:D,FALSE,FALSE)</f>
        <v>Gemeinde27</v>
      </c>
      <c r="C242" s="129" t="s">
        <v>307</v>
      </c>
      <c r="D242" s="127" t="s">
        <v>175</v>
      </c>
      <c r="E242" s="126">
        <v>0.28000000000000003</v>
      </c>
    </row>
    <row r="243" spans="1:5">
      <c r="A243" t="s">
        <v>58</v>
      </c>
      <c r="B243" s="127" t="str">
        <f>"Gemeinde"&amp;_xlfn.XLOOKUP(A243,Auswahlliste!E:E,Auswahlliste!D:D,FALSE,FALSE)</f>
        <v>Gemeinde27</v>
      </c>
      <c r="C243" s="129" t="s">
        <v>760</v>
      </c>
      <c r="D243" s="127" t="s">
        <v>309</v>
      </c>
      <c r="E243" s="126">
        <v>0.05</v>
      </c>
    </row>
    <row r="244" spans="1:5">
      <c r="A244" t="s">
        <v>58</v>
      </c>
      <c r="B244" s="127" t="str">
        <f>"Gemeinde"&amp;_xlfn.XLOOKUP(A244,Auswahlliste!E:E,Auswahlliste!D:D,FALSE,FALSE)</f>
        <v>Gemeinde27</v>
      </c>
      <c r="C244" s="129" t="s">
        <v>363</v>
      </c>
      <c r="D244" s="127" t="s">
        <v>311</v>
      </c>
      <c r="E244" s="126">
        <v>0.36</v>
      </c>
    </row>
    <row r="245" spans="1:5">
      <c r="A245" t="s">
        <v>58</v>
      </c>
      <c r="B245" s="127" t="str">
        <f>"Gemeinde"&amp;_xlfn.XLOOKUP(A245,Auswahlliste!E:E,Auswahlliste!D:D,FALSE,FALSE)</f>
        <v>Gemeinde27</v>
      </c>
      <c r="C245" s="129" t="s">
        <v>759</v>
      </c>
      <c r="D245" s="127" t="s">
        <v>312</v>
      </c>
      <c r="E245" s="126">
        <v>0.36</v>
      </c>
    </row>
    <row r="246" spans="1:5">
      <c r="A246" t="s">
        <v>58</v>
      </c>
      <c r="B246" s="127" t="str">
        <f>"Gemeinde"&amp;_xlfn.XLOOKUP(A246,Auswahlliste!E:E,Auswahlliste!D:D,FALSE,FALSE)</f>
        <v>Gemeinde27</v>
      </c>
      <c r="C246" s="129" t="s">
        <v>313</v>
      </c>
      <c r="D246" s="127" t="s">
        <v>314</v>
      </c>
      <c r="E246" s="126">
        <v>0.37</v>
      </c>
    </row>
    <row r="247" spans="1:5">
      <c r="A247" t="s">
        <v>58</v>
      </c>
      <c r="B247" s="127" t="str">
        <f>"Gemeinde"&amp;_xlfn.XLOOKUP(A247,Auswahlliste!E:E,Auswahlliste!D:D,FALSE,FALSE)</f>
        <v>Gemeinde27</v>
      </c>
      <c r="C247" s="133" t="s">
        <v>315</v>
      </c>
      <c r="D247" s="31" t="s">
        <v>316</v>
      </c>
      <c r="E247" s="136">
        <v>0.23</v>
      </c>
    </row>
    <row r="248" spans="1:5">
      <c r="A248" t="s">
        <v>58</v>
      </c>
      <c r="B248" s="127" t="str">
        <f>"Gemeinde"&amp;_xlfn.XLOOKUP(A248,Auswahlliste!E:E,Auswahlliste!D:D,FALSE,FALSE)</f>
        <v>Gemeinde27</v>
      </c>
      <c r="C248" s="129" t="s">
        <v>315</v>
      </c>
      <c r="D248" s="127" t="s">
        <v>317</v>
      </c>
      <c r="E248" s="126">
        <v>0.23</v>
      </c>
    </row>
    <row r="249" spans="1:5">
      <c r="A249" t="s">
        <v>58</v>
      </c>
      <c r="B249" s="127" t="str">
        <f>"Gemeinde"&amp;_xlfn.XLOOKUP(A249,Auswahlliste!E:E,Auswahlliste!D:D,FALSE,FALSE)</f>
        <v>Gemeinde27</v>
      </c>
      <c r="C249" s="129" t="s">
        <v>762</v>
      </c>
      <c r="D249" s="127" t="s">
        <v>319</v>
      </c>
      <c r="E249" s="126">
        <v>0.65</v>
      </c>
    </row>
    <row r="250" spans="1:5">
      <c r="A250" t="s">
        <v>58</v>
      </c>
      <c r="B250" s="127" t="str">
        <f>"Gemeinde"&amp;_xlfn.XLOOKUP(A250,Auswahlliste!E:E,Auswahlliste!D:D,FALSE,FALSE)</f>
        <v>Gemeinde27</v>
      </c>
      <c r="C250" s="129" t="s">
        <v>320</v>
      </c>
      <c r="D250" s="127" t="s">
        <v>321</v>
      </c>
      <c r="E250" s="126">
        <v>0.05</v>
      </c>
    </row>
    <row r="251" spans="1:5">
      <c r="A251" t="s">
        <v>58</v>
      </c>
      <c r="B251" s="127" t="str">
        <f>"Gemeinde"&amp;_xlfn.XLOOKUP(A251,Auswahlliste!E:E,Auswahlliste!D:D,FALSE,FALSE)</f>
        <v>Gemeinde27</v>
      </c>
      <c r="C251" s="129" t="s">
        <v>761</v>
      </c>
      <c r="D251" s="127" t="s">
        <v>322</v>
      </c>
      <c r="E251" s="126">
        <v>0.65</v>
      </c>
    </row>
    <row r="252" spans="1:5">
      <c r="A252" t="s">
        <v>58</v>
      </c>
      <c r="B252" s="127" t="str">
        <f>"Gemeinde"&amp;_xlfn.XLOOKUP(A252,Auswahlliste!E:E,Auswahlliste!D:D,FALSE,FALSE)</f>
        <v>Gemeinde27</v>
      </c>
      <c r="C252" s="129" t="s">
        <v>323</v>
      </c>
      <c r="D252" s="127" t="s">
        <v>324</v>
      </c>
      <c r="E252" s="126">
        <v>0.21</v>
      </c>
    </row>
    <row r="253" spans="1:5">
      <c r="A253" t="s">
        <v>58</v>
      </c>
      <c r="B253" s="127" t="str">
        <f>"Gemeinde"&amp;_xlfn.XLOOKUP(A253,Auswahlliste!E:E,Auswahlliste!D:D,FALSE,FALSE)</f>
        <v>Gemeinde27</v>
      </c>
      <c r="C253" s="129" t="s">
        <v>325</v>
      </c>
      <c r="D253" s="127" t="s">
        <v>326</v>
      </c>
      <c r="E253" s="126">
        <v>0.31</v>
      </c>
    </row>
    <row r="254" spans="1:5">
      <c r="A254" t="s">
        <v>58</v>
      </c>
      <c r="B254" s="127" t="str">
        <f>"Gemeinde"&amp;_xlfn.XLOOKUP(A254,Auswahlliste!E:E,Auswahlliste!D:D,FALSE,FALSE)</f>
        <v>Gemeinde27</v>
      </c>
      <c r="C254" s="129" t="s">
        <v>327</v>
      </c>
      <c r="D254" s="127" t="s">
        <v>328</v>
      </c>
      <c r="E254" s="126">
        <v>0.05</v>
      </c>
    </row>
    <row r="255" spans="1:5">
      <c r="A255" t="s">
        <v>58</v>
      </c>
      <c r="B255" s="127" t="str">
        <f>"Gemeinde"&amp;_xlfn.XLOOKUP(A255,Auswahlliste!E:E,Auswahlliste!D:D,FALSE,FALSE)</f>
        <v>Gemeinde27</v>
      </c>
      <c r="C255" s="129" t="s">
        <v>329</v>
      </c>
      <c r="D255" s="127" t="s">
        <v>330</v>
      </c>
      <c r="E255" s="126">
        <v>0.21</v>
      </c>
    </row>
    <row r="256" spans="1:5">
      <c r="A256" t="s">
        <v>58</v>
      </c>
      <c r="B256" s="127" t="str">
        <f>"Gemeinde"&amp;_xlfn.XLOOKUP(A256,Auswahlliste!E:E,Auswahlliste!D:D,FALSE,FALSE)</f>
        <v>Gemeinde27</v>
      </c>
      <c r="C256" s="129" t="s">
        <v>331</v>
      </c>
      <c r="D256" s="127" t="s">
        <v>332</v>
      </c>
      <c r="E256" s="126">
        <v>0.26</v>
      </c>
    </row>
    <row r="257" spans="1:5">
      <c r="A257" t="s">
        <v>58</v>
      </c>
      <c r="B257" s="127" t="str">
        <f>"Gemeinde"&amp;_xlfn.XLOOKUP(A257,Auswahlliste!E:E,Auswahlliste!D:D,FALSE,FALSE)</f>
        <v>Gemeinde27</v>
      </c>
      <c r="C257" s="133" t="s">
        <v>333</v>
      </c>
      <c r="D257" s="31" t="s">
        <v>334</v>
      </c>
      <c r="E257" s="136">
        <v>0.31</v>
      </c>
    </row>
    <row r="258" spans="1:5">
      <c r="A258" t="s">
        <v>31</v>
      </c>
      <c r="B258" s="127" t="str">
        <f>"Gemeinde"&amp;_xlfn.XLOOKUP(A258,Auswahlliste!E:E,Auswahlliste!D:D,FALSE,FALSE)</f>
        <v>Gemeinde28</v>
      </c>
      <c r="C258" s="129" t="s">
        <v>439</v>
      </c>
      <c r="D258" s="126" t="s">
        <v>375</v>
      </c>
      <c r="E258" s="126">
        <v>0.25</v>
      </c>
    </row>
    <row r="259" spans="1:5">
      <c r="A259" t="s">
        <v>31</v>
      </c>
      <c r="B259" s="127" t="str">
        <f>"Gemeinde"&amp;_xlfn.XLOOKUP(A259,Auswahlliste!E:E,Auswahlliste!D:D,FALSE,FALSE)</f>
        <v>Gemeinde28</v>
      </c>
      <c r="C259" s="129" t="s">
        <v>435</v>
      </c>
      <c r="D259" s="126" t="s">
        <v>367</v>
      </c>
      <c r="E259" s="126">
        <v>0.3</v>
      </c>
    </row>
    <row r="260" spans="1:5">
      <c r="A260" t="s">
        <v>31</v>
      </c>
      <c r="B260" s="127" t="str">
        <f>"Gemeinde"&amp;_xlfn.XLOOKUP(A260,Auswahlliste!E:E,Auswahlliste!D:D,FALSE,FALSE)</f>
        <v>Gemeinde28</v>
      </c>
      <c r="C260" s="129" t="s">
        <v>189</v>
      </c>
      <c r="D260" s="126" t="s">
        <v>326</v>
      </c>
      <c r="E260" s="126">
        <v>0.4</v>
      </c>
    </row>
    <row r="261" spans="1:5">
      <c r="A261" t="s">
        <v>31</v>
      </c>
      <c r="B261" s="127" t="str">
        <f>"Gemeinde"&amp;_xlfn.XLOOKUP(A261,Auswahlliste!E:E,Auswahlliste!D:D,FALSE,FALSE)</f>
        <v>Gemeinde28</v>
      </c>
      <c r="C261" s="129" t="s">
        <v>473</v>
      </c>
      <c r="D261" s="126" t="s">
        <v>332</v>
      </c>
      <c r="E261" s="126">
        <v>0.4</v>
      </c>
    </row>
    <row r="262" spans="1:5">
      <c r="A262" t="s">
        <v>31</v>
      </c>
      <c r="B262" s="127" t="str">
        <f>"Gemeinde"&amp;_xlfn.XLOOKUP(A262,Auswahlliste!E:E,Auswahlliste!D:D,FALSE,FALSE)</f>
        <v>Gemeinde28</v>
      </c>
      <c r="C262" s="129" t="s">
        <v>474</v>
      </c>
      <c r="D262" s="126" t="s">
        <v>334</v>
      </c>
      <c r="E262" s="126">
        <v>0.45</v>
      </c>
    </row>
    <row r="263" spans="1:5">
      <c r="A263" t="s">
        <v>31</v>
      </c>
      <c r="B263" s="127" t="str">
        <f>"Gemeinde"&amp;_xlfn.XLOOKUP(A263,Auswahlliste!E:E,Auswahlliste!D:D,FALSE,FALSE)</f>
        <v>Gemeinde28</v>
      </c>
      <c r="C263" s="129" t="s">
        <v>397</v>
      </c>
      <c r="D263" s="126" t="s">
        <v>309</v>
      </c>
      <c r="E263" s="126">
        <v>0.55000000000000004</v>
      </c>
    </row>
    <row r="264" spans="1:5">
      <c r="A264" t="s">
        <v>31</v>
      </c>
      <c r="B264" s="127" t="str">
        <f>"Gemeinde"&amp;_xlfn.XLOOKUP(A264,Auswahlliste!E:E,Auswahlliste!D:D,FALSE,FALSE)</f>
        <v>Gemeinde28</v>
      </c>
      <c r="C264" s="129" t="s">
        <v>340</v>
      </c>
      <c r="D264" s="126" t="s">
        <v>341</v>
      </c>
      <c r="E264" s="126">
        <v>0.55000000000000004</v>
      </c>
    </row>
    <row r="265" spans="1:5">
      <c r="A265" t="s">
        <v>31</v>
      </c>
      <c r="B265" s="127" t="str">
        <f>"Gemeinde"&amp;_xlfn.XLOOKUP(A265,Auswahlliste!E:E,Auswahlliste!D:D,FALSE,FALSE)</f>
        <v>Gemeinde28</v>
      </c>
      <c r="C265" s="129" t="s">
        <v>433</v>
      </c>
      <c r="D265" s="126" t="s">
        <v>434</v>
      </c>
      <c r="E265" s="126">
        <v>0.55000000000000004</v>
      </c>
    </row>
    <row r="266" spans="1:5">
      <c r="A266" t="s">
        <v>31</v>
      </c>
      <c r="B266" s="127" t="str">
        <f>"Gemeinde"&amp;_xlfn.XLOOKUP(A266,Auswahlliste!E:E,Auswahlliste!D:D,FALSE,FALSE)</f>
        <v>Gemeinde28</v>
      </c>
      <c r="C266" s="129" t="s">
        <v>343</v>
      </c>
      <c r="D266" s="126" t="s">
        <v>344</v>
      </c>
      <c r="E266" s="126">
        <v>0.6</v>
      </c>
    </row>
    <row r="267" spans="1:5">
      <c r="A267" t="s">
        <v>31</v>
      </c>
      <c r="B267" s="127" t="str">
        <f>"Gemeinde"&amp;_xlfn.XLOOKUP(A267,Auswahlliste!E:E,Auswahlliste!D:D,FALSE,FALSE)</f>
        <v>Gemeinde28</v>
      </c>
      <c r="C267" s="133" t="s">
        <v>15</v>
      </c>
      <c r="D267" s="136" t="s">
        <v>386</v>
      </c>
      <c r="E267" s="136">
        <v>0.4</v>
      </c>
    </row>
    <row r="268" spans="1:5">
      <c r="A268" t="s">
        <v>90</v>
      </c>
      <c r="B268" s="127" t="str">
        <f>"Gemeinde"&amp;_xlfn.XLOOKUP(A268,Auswahlliste!E:E,Auswahlliste!D:D,FALSE,FALSE)</f>
        <v>Gemeinde29</v>
      </c>
      <c r="C268" s="129" t="s">
        <v>439</v>
      </c>
      <c r="D268" s="126" t="s">
        <v>375</v>
      </c>
      <c r="E268" s="126">
        <v>0.3</v>
      </c>
    </row>
    <row r="269" spans="1:5">
      <c r="A269" t="s">
        <v>90</v>
      </c>
      <c r="B269" s="127" t="str">
        <f>"Gemeinde"&amp;_xlfn.XLOOKUP(A269,Auswahlliste!E:E,Auswahlliste!D:D,FALSE,FALSE)</f>
        <v>Gemeinde29</v>
      </c>
      <c r="C269" s="129" t="s">
        <v>435</v>
      </c>
      <c r="D269" s="126" t="s">
        <v>367</v>
      </c>
      <c r="E269" s="126">
        <v>0.35</v>
      </c>
    </row>
    <row r="270" spans="1:5">
      <c r="A270" t="s">
        <v>90</v>
      </c>
      <c r="B270" s="127" t="str">
        <f>"Gemeinde"&amp;_xlfn.XLOOKUP(A270,Auswahlliste!E:E,Auswahlliste!D:D,FALSE,FALSE)</f>
        <v>Gemeinde29</v>
      </c>
      <c r="C270" s="129" t="s">
        <v>189</v>
      </c>
      <c r="D270" s="126" t="s">
        <v>326</v>
      </c>
      <c r="E270" s="126">
        <v>0.4</v>
      </c>
    </row>
    <row r="271" spans="1:5">
      <c r="A271" t="s">
        <v>90</v>
      </c>
      <c r="B271" s="127" t="str">
        <f>"Gemeinde"&amp;_xlfn.XLOOKUP(A271,Auswahlliste!E:E,Auswahlliste!D:D,FALSE,FALSE)</f>
        <v>Gemeinde29</v>
      </c>
      <c r="C271" s="129" t="s">
        <v>405</v>
      </c>
      <c r="D271" s="126" t="s">
        <v>332</v>
      </c>
      <c r="E271" s="126">
        <v>0.5</v>
      </c>
    </row>
    <row r="272" spans="1:5">
      <c r="A272" t="s">
        <v>90</v>
      </c>
      <c r="B272" s="127" t="str">
        <f>"Gemeinde"&amp;_xlfn.XLOOKUP(A272,Auswahlliste!E:E,Auswahlliste!D:D,FALSE,FALSE)</f>
        <v>Gemeinde29</v>
      </c>
      <c r="C272" s="129" t="s">
        <v>605</v>
      </c>
      <c r="D272" s="126" t="s">
        <v>334</v>
      </c>
      <c r="E272" s="126">
        <v>0.55000000000000004</v>
      </c>
    </row>
    <row r="273" spans="1:5">
      <c r="A273" t="s">
        <v>90</v>
      </c>
      <c r="B273" s="127" t="str">
        <f>"Gemeinde"&amp;_xlfn.XLOOKUP(A273,Auswahlliste!E:E,Auswahlliste!D:D,FALSE,FALSE)</f>
        <v>Gemeinde29</v>
      </c>
      <c r="C273" s="129" t="s">
        <v>397</v>
      </c>
      <c r="D273" s="126" t="s">
        <v>309</v>
      </c>
      <c r="E273" s="126">
        <v>0.6</v>
      </c>
    </row>
    <row r="274" spans="1:5">
      <c r="A274" t="s">
        <v>90</v>
      </c>
      <c r="B274" s="127" t="str">
        <f>"Gemeinde"&amp;_xlfn.XLOOKUP(A274,Auswahlliste!E:E,Auswahlliste!D:D,FALSE,FALSE)</f>
        <v>Gemeinde29</v>
      </c>
      <c r="C274" s="129" t="s">
        <v>340</v>
      </c>
      <c r="D274" s="126" t="s">
        <v>341</v>
      </c>
      <c r="E274" s="126">
        <v>0.6</v>
      </c>
    </row>
    <row r="275" spans="1:5">
      <c r="A275" t="s">
        <v>90</v>
      </c>
      <c r="B275" s="127" t="str">
        <f>"Gemeinde"&amp;_xlfn.XLOOKUP(A275,Auswahlliste!E:E,Auswahlliste!D:D,FALSE,FALSE)</f>
        <v>Gemeinde29</v>
      </c>
      <c r="C275" s="129" t="s">
        <v>343</v>
      </c>
      <c r="D275" s="126" t="s">
        <v>344</v>
      </c>
      <c r="E275" s="126">
        <v>0.6</v>
      </c>
    </row>
    <row r="276" spans="1:5">
      <c r="A276" t="s">
        <v>90</v>
      </c>
      <c r="B276" s="127" t="str">
        <f>"Gemeinde"&amp;_xlfn.XLOOKUP(A276,Auswahlliste!E:E,Auswahlliste!D:D,FALSE,FALSE)</f>
        <v>Gemeinde29</v>
      </c>
      <c r="C276" s="129" t="s">
        <v>15</v>
      </c>
      <c r="D276" s="126" t="s">
        <v>386</v>
      </c>
      <c r="E276" s="126">
        <v>0.1</v>
      </c>
    </row>
    <row r="277" spans="1:5">
      <c r="A277" t="s">
        <v>90</v>
      </c>
      <c r="B277" s="127" t="str">
        <f>"Gemeinde"&amp;_xlfn.XLOOKUP(A277,Auswahlliste!E:E,Auswahlliste!D:D,FALSE,FALSE)</f>
        <v>Gemeinde29</v>
      </c>
      <c r="C277" s="129" t="s">
        <v>604</v>
      </c>
      <c r="D277" s="126" t="s">
        <v>297</v>
      </c>
      <c r="E277" s="126">
        <v>0.6</v>
      </c>
    </row>
    <row r="278" spans="1:5">
      <c r="A278" t="s">
        <v>90</v>
      </c>
      <c r="B278" s="127" t="str">
        <f>"Gemeinde"&amp;_xlfn.XLOOKUP(A278,Auswahlliste!E:E,Auswahlliste!D:D,FALSE,FALSE)</f>
        <v>Gemeinde29</v>
      </c>
      <c r="C278" s="129" t="s">
        <v>197</v>
      </c>
      <c r="D278" s="126" t="s">
        <v>346</v>
      </c>
      <c r="E278" s="126">
        <v>0.65</v>
      </c>
    </row>
    <row r="279" spans="1:5">
      <c r="A279" t="s">
        <v>90</v>
      </c>
      <c r="B279" s="127" t="str">
        <f>"Gemeinde"&amp;_xlfn.XLOOKUP(A279,Auswahlliste!E:E,Auswahlliste!D:D,FALSE,FALSE)</f>
        <v>Gemeinde29</v>
      </c>
      <c r="C279" s="129" t="s">
        <v>607</v>
      </c>
      <c r="D279" s="126" t="s">
        <v>386</v>
      </c>
      <c r="E279" s="126">
        <v>0.4</v>
      </c>
    </row>
    <row r="280" spans="1:5">
      <c r="A280" t="s">
        <v>90</v>
      </c>
      <c r="B280" s="127" t="str">
        <f>"Gemeinde"&amp;_xlfn.XLOOKUP(A280,Auswahlliste!E:E,Auswahlliste!D:D,FALSE,FALSE)</f>
        <v>Gemeinde29</v>
      </c>
      <c r="C280" s="129" t="s">
        <v>606</v>
      </c>
      <c r="D280" s="126" t="s">
        <v>386</v>
      </c>
      <c r="E280" s="126">
        <v>0.3</v>
      </c>
    </row>
    <row r="281" spans="1:5">
      <c r="A281" t="s">
        <v>90</v>
      </c>
      <c r="B281" s="127" t="str">
        <f>"Gemeinde"&amp;_xlfn.XLOOKUP(A281,Auswahlliste!E:E,Auswahlliste!D:D,FALSE,FALSE)</f>
        <v>Gemeinde29</v>
      </c>
      <c r="C281" s="129" t="s">
        <v>608</v>
      </c>
      <c r="D281" s="126" t="s">
        <v>386</v>
      </c>
      <c r="E281" s="126">
        <v>0.1</v>
      </c>
    </row>
    <row r="282" spans="1:5">
      <c r="A282" t="s">
        <v>74</v>
      </c>
      <c r="B282" s="127" t="str">
        <f>"Gemeinde"&amp;_xlfn.XLOOKUP(A282,Auswahlliste!E:E,Auswahlliste!D:D,FALSE,FALSE)</f>
        <v>Gemeinde30</v>
      </c>
      <c r="C282" s="129" t="s">
        <v>439</v>
      </c>
      <c r="D282" s="126" t="s">
        <v>375</v>
      </c>
      <c r="E282" s="126">
        <v>0.2</v>
      </c>
    </row>
    <row r="283" spans="1:5">
      <c r="A283" t="s">
        <v>74</v>
      </c>
      <c r="B283" s="127" t="str">
        <f>"Gemeinde"&amp;_xlfn.XLOOKUP(A283,Auswahlliste!E:E,Auswahlliste!D:D,FALSE,FALSE)</f>
        <v>Gemeinde30</v>
      </c>
      <c r="C283" s="129" t="s">
        <v>435</v>
      </c>
      <c r="D283" s="126" t="s">
        <v>367</v>
      </c>
      <c r="E283" s="126">
        <v>0.2</v>
      </c>
    </row>
    <row r="284" spans="1:5">
      <c r="A284" t="s">
        <v>74</v>
      </c>
      <c r="B284" s="127" t="str">
        <f>"Gemeinde"&amp;_xlfn.XLOOKUP(A284,Auswahlliste!E:E,Auswahlliste!D:D,FALSE,FALSE)</f>
        <v>Gemeinde30</v>
      </c>
      <c r="C284" s="129" t="s">
        <v>189</v>
      </c>
      <c r="D284" s="126" t="s">
        <v>326</v>
      </c>
      <c r="E284" s="126">
        <v>0.25</v>
      </c>
    </row>
    <row r="285" spans="1:5">
      <c r="A285" t="s">
        <v>74</v>
      </c>
      <c r="B285" s="127" t="str">
        <f>"Gemeinde"&amp;_xlfn.XLOOKUP(A285,Auswahlliste!E:E,Auswahlliste!D:D,FALSE,FALSE)</f>
        <v>Gemeinde30</v>
      </c>
      <c r="C285" s="129" t="s">
        <v>190</v>
      </c>
      <c r="D285" s="126" t="s">
        <v>355</v>
      </c>
      <c r="E285" s="126">
        <v>0.35</v>
      </c>
    </row>
    <row r="286" spans="1:5">
      <c r="A286" t="s">
        <v>74</v>
      </c>
      <c r="B286" s="127" t="str">
        <f>"Gemeinde"&amp;_xlfn.XLOOKUP(A286,Auswahlliste!E:E,Auswahlliste!D:D,FALSE,FALSE)</f>
        <v>Gemeinde30</v>
      </c>
      <c r="C286" s="129" t="s">
        <v>473</v>
      </c>
      <c r="D286" s="126" t="s">
        <v>332</v>
      </c>
      <c r="E286" s="126">
        <v>0.3</v>
      </c>
    </row>
    <row r="287" spans="1:5">
      <c r="A287" t="s">
        <v>74</v>
      </c>
      <c r="B287" s="127" t="str">
        <f>"Gemeinde"&amp;_xlfn.XLOOKUP(A287,Auswahlliste!E:E,Auswahlliste!D:D,FALSE,FALSE)</f>
        <v>Gemeinde30</v>
      </c>
      <c r="C287" s="133" t="s">
        <v>474</v>
      </c>
      <c r="D287" s="136" t="s">
        <v>334</v>
      </c>
      <c r="E287" s="136">
        <v>0.3</v>
      </c>
    </row>
    <row r="288" spans="1:5">
      <c r="A288" t="s">
        <v>74</v>
      </c>
      <c r="B288" s="127" t="str">
        <f>"Gemeinde"&amp;_xlfn.XLOOKUP(A288,Auswahlliste!E:E,Auswahlliste!D:D,FALSE,FALSE)</f>
        <v>Gemeinde30</v>
      </c>
      <c r="C288" s="129" t="s">
        <v>475</v>
      </c>
      <c r="D288" s="126" t="s">
        <v>361</v>
      </c>
      <c r="E288" s="126">
        <v>0.35</v>
      </c>
    </row>
    <row r="289" spans="1:5">
      <c r="A289" t="s">
        <v>74</v>
      </c>
      <c r="B289" s="127" t="str">
        <f>"Gemeinde"&amp;_xlfn.XLOOKUP(A289,Auswahlliste!E:E,Auswahlliste!D:D,FALSE,FALSE)</f>
        <v>Gemeinde30</v>
      </c>
      <c r="C289" s="129" t="s">
        <v>424</v>
      </c>
      <c r="D289" s="126" t="s">
        <v>425</v>
      </c>
      <c r="E289" s="126">
        <v>0.5</v>
      </c>
    </row>
    <row r="290" spans="1:5">
      <c r="A290" t="s">
        <v>74</v>
      </c>
      <c r="B290" s="127" t="str">
        <f>"Gemeinde"&amp;_xlfn.XLOOKUP(A290,Auswahlliste!E:E,Auswahlliste!D:D,FALSE,FALSE)</f>
        <v>Gemeinde30</v>
      </c>
      <c r="C290" s="129" t="s">
        <v>397</v>
      </c>
      <c r="D290" s="126" t="s">
        <v>309</v>
      </c>
      <c r="E290" s="126">
        <v>0.6</v>
      </c>
    </row>
    <row r="291" spans="1:5">
      <c r="A291" t="s">
        <v>74</v>
      </c>
      <c r="B291" s="127" t="str">
        <f>"Gemeinde"&amp;_xlfn.XLOOKUP(A291,Auswahlliste!E:E,Auswahlliste!D:D,FALSE,FALSE)</f>
        <v>Gemeinde30</v>
      </c>
      <c r="C291" s="129" t="s">
        <v>340</v>
      </c>
      <c r="D291" s="126" t="s">
        <v>341</v>
      </c>
      <c r="E291" s="126">
        <v>0.4</v>
      </c>
    </row>
    <row r="292" spans="1:5">
      <c r="A292" t="s">
        <v>74</v>
      </c>
      <c r="B292" s="127" t="str">
        <f>"Gemeinde"&amp;_xlfn.XLOOKUP(A292,Auswahlliste!E:E,Auswahlliste!D:D,FALSE,FALSE)</f>
        <v>Gemeinde30</v>
      </c>
      <c r="C292" s="129" t="s">
        <v>196</v>
      </c>
      <c r="D292" s="126" t="s">
        <v>297</v>
      </c>
      <c r="E292" s="126">
        <v>0.3</v>
      </c>
    </row>
    <row r="293" spans="1:5">
      <c r="A293" t="s">
        <v>74</v>
      </c>
      <c r="B293" s="127" t="str">
        <f>"Gemeinde"&amp;_xlfn.XLOOKUP(A293,Auswahlliste!E:E,Auswahlliste!D:D,FALSE,FALSE)</f>
        <v>Gemeinde30</v>
      </c>
      <c r="C293" s="129" t="s">
        <v>197</v>
      </c>
      <c r="D293" s="126" t="s">
        <v>346</v>
      </c>
      <c r="E293" s="126">
        <v>0.35</v>
      </c>
    </row>
    <row r="294" spans="1:5">
      <c r="A294" t="s">
        <v>74</v>
      </c>
      <c r="B294" s="127" t="str">
        <f>"Gemeinde"&amp;_xlfn.XLOOKUP(A294,Auswahlliste!E:E,Auswahlliste!D:D,FALSE,FALSE)</f>
        <v>Gemeinde30</v>
      </c>
      <c r="C294" s="129" t="s">
        <v>15</v>
      </c>
      <c r="D294" s="126" t="s">
        <v>386</v>
      </c>
      <c r="E294" s="126">
        <v>0.25</v>
      </c>
    </row>
    <row r="295" spans="1:5">
      <c r="A295" t="s">
        <v>74</v>
      </c>
      <c r="B295" s="127" t="str">
        <f>"Gemeinde"&amp;_xlfn.XLOOKUP(A295,Auswahlliste!E:E,Auswahlliste!D:D,FALSE,FALSE)</f>
        <v>Gemeinde30</v>
      </c>
      <c r="C295" s="129" t="s">
        <v>444</v>
      </c>
      <c r="D295" s="126" t="s">
        <v>445</v>
      </c>
      <c r="E295" s="126">
        <v>0.15</v>
      </c>
    </row>
    <row r="296" spans="1:5">
      <c r="A296" t="s">
        <v>74</v>
      </c>
      <c r="B296" s="127" t="str">
        <f>"Gemeinde"&amp;_xlfn.XLOOKUP(A296,Auswahlliste!E:E,Auswahlliste!D:D,FALSE,FALSE)</f>
        <v>Gemeinde30</v>
      </c>
      <c r="C296" s="129" t="s">
        <v>446</v>
      </c>
      <c r="D296" s="126" t="s">
        <v>447</v>
      </c>
      <c r="E296" s="126">
        <v>0.15</v>
      </c>
    </row>
    <row r="297" spans="1:5">
      <c r="A297" t="s">
        <v>74</v>
      </c>
      <c r="B297" s="127" t="str">
        <f>"Gemeinde"&amp;_xlfn.XLOOKUP(A297,Auswahlliste!E:E,Auswahlliste!D:D,FALSE,FALSE)</f>
        <v>Gemeinde30</v>
      </c>
      <c r="C297" s="129" t="s">
        <v>394</v>
      </c>
      <c r="D297" s="126" t="s">
        <v>481</v>
      </c>
      <c r="E297" s="126">
        <v>0.3</v>
      </c>
    </row>
    <row r="298" spans="1:5">
      <c r="A298" t="s">
        <v>89</v>
      </c>
      <c r="B298" s="127" t="str">
        <f>"Gemeinde"&amp;_xlfn.XLOOKUP(A298,Auswahlliste!E:E,Auswahlliste!D:D,FALSE,FALSE)</f>
        <v>Gemeinde31</v>
      </c>
      <c r="C298" s="129" t="s">
        <v>536</v>
      </c>
      <c r="D298" s="126" t="s">
        <v>453</v>
      </c>
      <c r="E298" s="126">
        <v>0.1</v>
      </c>
    </row>
    <row r="299" spans="1:5">
      <c r="A299" t="s">
        <v>84</v>
      </c>
      <c r="B299" s="127" t="str">
        <f>"Gemeinde"&amp;_xlfn.XLOOKUP(A299,Auswahlliste!E:E,Auswahlliste!D:D,FALSE,FALSE)</f>
        <v>Gemeinde32</v>
      </c>
      <c r="C299" s="129" t="s">
        <v>483</v>
      </c>
      <c r="D299" s="126" t="s">
        <v>344</v>
      </c>
      <c r="E299" s="126">
        <v>0.8</v>
      </c>
    </row>
    <row r="300" spans="1:5">
      <c r="A300" t="s">
        <v>84</v>
      </c>
      <c r="B300" s="127" t="str">
        <f>"Gemeinde"&amp;_xlfn.XLOOKUP(A300,Auswahlliste!E:E,Auswahlliste!D:D,FALSE,FALSE)</f>
        <v>Gemeinde32</v>
      </c>
      <c r="C300" s="133" t="s">
        <v>197</v>
      </c>
      <c r="D300" s="136" t="s">
        <v>346</v>
      </c>
      <c r="E300" s="136">
        <v>0.6</v>
      </c>
    </row>
    <row r="301" spans="1:5">
      <c r="A301" t="s">
        <v>84</v>
      </c>
      <c r="B301" s="127" t="str">
        <f>"Gemeinde"&amp;_xlfn.XLOOKUP(A301,Auswahlliste!E:E,Auswahlliste!D:D,FALSE,FALSE)</f>
        <v>Gemeinde32</v>
      </c>
      <c r="C301" s="129" t="s">
        <v>189</v>
      </c>
      <c r="D301" s="126" t="s">
        <v>326</v>
      </c>
      <c r="E301" s="126">
        <v>0.4</v>
      </c>
    </row>
    <row r="302" spans="1:5">
      <c r="A302" t="s">
        <v>84</v>
      </c>
      <c r="B302" s="127" t="str">
        <f>"Gemeinde"&amp;_xlfn.XLOOKUP(A302,Auswahlliste!E:E,Auswahlliste!D:D,FALSE,FALSE)</f>
        <v>Gemeinde32</v>
      </c>
      <c r="C302" s="129" t="s">
        <v>484</v>
      </c>
      <c r="D302" s="126" t="s">
        <v>493</v>
      </c>
      <c r="E302" s="126">
        <v>0.25</v>
      </c>
    </row>
    <row r="303" spans="1:5">
      <c r="A303" t="s">
        <v>84</v>
      </c>
      <c r="B303" s="127" t="str">
        <f>"Gemeinde"&amp;_xlfn.XLOOKUP(A303,Auswahlliste!E:E,Auswahlliste!D:D,FALSE,FALSE)</f>
        <v>Gemeinde32</v>
      </c>
      <c r="C303" s="129" t="s">
        <v>485</v>
      </c>
      <c r="D303" s="126" t="s">
        <v>494</v>
      </c>
      <c r="E303" s="126">
        <v>0.25</v>
      </c>
    </row>
    <row r="304" spans="1:5">
      <c r="A304" t="s">
        <v>84</v>
      </c>
      <c r="B304" s="127" t="str">
        <f>"Gemeinde"&amp;_xlfn.XLOOKUP(A304,Auswahlliste!E:E,Auswahlliste!D:D,FALSE,FALSE)</f>
        <v>Gemeinde32</v>
      </c>
      <c r="C304" s="129" t="s">
        <v>486</v>
      </c>
      <c r="D304" s="126" t="s">
        <v>462</v>
      </c>
      <c r="E304" s="126">
        <v>0.35</v>
      </c>
    </row>
    <row r="305" spans="1:5">
      <c r="A305" t="s">
        <v>84</v>
      </c>
      <c r="B305" s="127" t="str">
        <f>"Gemeinde"&amp;_xlfn.XLOOKUP(A305,Auswahlliste!E:E,Auswahlliste!D:D,FALSE,FALSE)</f>
        <v>Gemeinde32</v>
      </c>
      <c r="C305" s="129" t="s">
        <v>487</v>
      </c>
      <c r="D305" s="126" t="s">
        <v>464</v>
      </c>
      <c r="E305" s="126">
        <v>0.3</v>
      </c>
    </row>
    <row r="306" spans="1:5">
      <c r="A306" t="s">
        <v>84</v>
      </c>
      <c r="B306" s="127" t="str">
        <f>"Gemeinde"&amp;_xlfn.XLOOKUP(A306,Auswahlliste!E:E,Auswahlliste!D:D,FALSE,FALSE)</f>
        <v>Gemeinde32</v>
      </c>
      <c r="C306" s="129" t="s">
        <v>488</v>
      </c>
      <c r="D306" s="126" t="s">
        <v>382</v>
      </c>
      <c r="E306" s="126">
        <v>0.5</v>
      </c>
    </row>
    <row r="307" spans="1:5">
      <c r="A307" t="s">
        <v>84</v>
      </c>
      <c r="B307" s="127" t="str">
        <f>"Gemeinde"&amp;_xlfn.XLOOKUP(A307,Auswahlliste!E:E,Auswahlliste!D:D,FALSE,FALSE)</f>
        <v>Gemeinde32</v>
      </c>
      <c r="C307" s="129" t="s">
        <v>489</v>
      </c>
      <c r="D307" s="126" t="s">
        <v>495</v>
      </c>
      <c r="E307" s="126" t="s">
        <v>497</v>
      </c>
    </row>
    <row r="308" spans="1:5">
      <c r="A308" t="s">
        <v>84</v>
      </c>
      <c r="B308" s="127" t="str">
        <f>"Gemeinde"&amp;_xlfn.XLOOKUP(A308,Auswahlliste!E:E,Auswahlliste!D:D,FALSE,FALSE)</f>
        <v>Gemeinde32</v>
      </c>
      <c r="C308" s="129" t="s">
        <v>490</v>
      </c>
      <c r="D308" s="126" t="s">
        <v>341</v>
      </c>
      <c r="E308" s="126" t="s">
        <v>496</v>
      </c>
    </row>
    <row r="309" spans="1:5">
      <c r="A309" t="s">
        <v>84</v>
      </c>
      <c r="B309" s="127" t="str">
        <f>"Gemeinde"&amp;_xlfn.XLOOKUP(A309,Auswahlliste!E:E,Auswahlliste!D:D,FALSE,FALSE)</f>
        <v>Gemeinde32</v>
      </c>
      <c r="C309" s="129" t="s">
        <v>491</v>
      </c>
      <c r="D309" s="126" t="s">
        <v>386</v>
      </c>
      <c r="E309" s="126">
        <v>0.45</v>
      </c>
    </row>
    <row r="310" spans="1:5">
      <c r="A310" t="s">
        <v>84</v>
      </c>
      <c r="B310" s="127" t="str">
        <f>"Gemeinde"&amp;_xlfn.XLOOKUP(A310,Auswahlliste!E:E,Auswahlliste!D:D,FALSE,FALSE)</f>
        <v>Gemeinde32</v>
      </c>
      <c r="C310" s="129" t="s">
        <v>492</v>
      </c>
      <c r="D310" s="126" t="s">
        <v>322</v>
      </c>
      <c r="E310" s="126">
        <v>0.8</v>
      </c>
    </row>
    <row r="311" spans="1:5">
      <c r="A311" t="s">
        <v>87</v>
      </c>
      <c r="B311" s="127" t="str">
        <f>"Gemeinde"&amp;_xlfn.XLOOKUP(A311,Auswahlliste!E:E,Auswahlliste!D:D,FALSE,FALSE)</f>
        <v>Gemeinde33</v>
      </c>
      <c r="C311" s="129" t="s">
        <v>369</v>
      </c>
      <c r="D311" s="127" t="s">
        <v>375</v>
      </c>
      <c r="E311" s="126">
        <v>0.25</v>
      </c>
    </row>
    <row r="312" spans="1:5">
      <c r="A312" t="s">
        <v>87</v>
      </c>
      <c r="B312" s="127" t="str">
        <f>"Gemeinde"&amp;_xlfn.XLOOKUP(A312,Auswahlliste!E:E,Auswahlliste!D:D,FALSE,FALSE)</f>
        <v>Gemeinde33</v>
      </c>
      <c r="C312" s="129" t="s">
        <v>366</v>
      </c>
      <c r="D312" s="127" t="s">
        <v>367</v>
      </c>
      <c r="E312" s="126">
        <v>0.32500000000000001</v>
      </c>
    </row>
    <row r="313" spans="1:5">
      <c r="A313" t="s">
        <v>87</v>
      </c>
      <c r="B313" s="127" t="str">
        <f>"Gemeinde"&amp;_xlfn.XLOOKUP(A313,Auswahlliste!E:E,Auswahlliste!D:D,FALSE,FALSE)</f>
        <v>Gemeinde33</v>
      </c>
      <c r="C313" s="129" t="s">
        <v>379</v>
      </c>
      <c r="D313" s="127" t="s">
        <v>332</v>
      </c>
      <c r="E313" s="126">
        <v>0.35</v>
      </c>
    </row>
    <row r="314" spans="1:5">
      <c r="A314" t="s">
        <v>87</v>
      </c>
      <c r="B314" s="127" t="str">
        <f>"Gemeinde"&amp;_xlfn.XLOOKUP(A314,Auswahlliste!E:E,Auswahlliste!D:D,FALSE,FALSE)</f>
        <v>Gemeinde33</v>
      </c>
      <c r="C314" s="129" t="s">
        <v>380</v>
      </c>
      <c r="D314" s="127" t="s">
        <v>334</v>
      </c>
      <c r="E314" s="126">
        <v>0.42499999999999999</v>
      </c>
    </row>
    <row r="315" spans="1:5">
      <c r="A315" t="s">
        <v>87</v>
      </c>
      <c r="B315" s="127" t="str">
        <f>"Gemeinde"&amp;_xlfn.XLOOKUP(A315,Auswahlliste!E:E,Auswahlliste!D:D,FALSE,FALSE)</f>
        <v>Gemeinde33</v>
      </c>
      <c r="C315" s="129" t="s">
        <v>397</v>
      </c>
      <c r="D315" s="127" t="s">
        <v>309</v>
      </c>
      <c r="E315" s="126">
        <v>0.6</v>
      </c>
    </row>
    <row r="316" spans="1:5">
      <c r="A316" t="s">
        <v>87</v>
      </c>
      <c r="B316" s="127" t="str">
        <f>"Gemeinde"&amp;_xlfn.XLOOKUP(A316,Auswahlliste!E:E,Auswahlliste!D:D,FALSE,FALSE)</f>
        <v>Gemeinde33</v>
      </c>
      <c r="C316" s="133" t="s">
        <v>340</v>
      </c>
      <c r="D316" s="31" t="s">
        <v>341</v>
      </c>
      <c r="E316" s="136">
        <v>0.6</v>
      </c>
    </row>
    <row r="317" spans="1:5">
      <c r="A317" t="s">
        <v>87</v>
      </c>
      <c r="B317" s="127" t="str">
        <f>"Gemeinde"&amp;_xlfn.XLOOKUP(A317,Auswahlliste!E:E,Auswahlliste!D:D,FALSE,FALSE)</f>
        <v>Gemeinde33</v>
      </c>
      <c r="C317" s="129" t="s">
        <v>343</v>
      </c>
      <c r="D317" s="127" t="s">
        <v>344</v>
      </c>
      <c r="E317" s="126">
        <v>0.35</v>
      </c>
    </row>
    <row r="318" spans="1:5">
      <c r="A318" t="s">
        <v>87</v>
      </c>
      <c r="B318" s="127" t="str">
        <f>"Gemeinde"&amp;_xlfn.XLOOKUP(A318,Auswahlliste!E:E,Auswahlliste!D:D,FALSE,FALSE)</f>
        <v>Gemeinde33</v>
      </c>
      <c r="C318" s="129" t="s">
        <v>15</v>
      </c>
      <c r="D318" s="127" t="s">
        <v>386</v>
      </c>
      <c r="E318" s="126">
        <v>0.4</v>
      </c>
    </row>
    <row r="319" spans="1:5">
      <c r="A319" t="s">
        <v>51</v>
      </c>
      <c r="B319" s="127" t="str">
        <f>"Gemeinde"&amp;_xlfn.XLOOKUP(A319,Auswahlliste!E:E,Auswahlliste!D:D,FALSE,FALSE)</f>
        <v>Gemeinde34</v>
      </c>
      <c r="C319" s="129" t="s">
        <v>452</v>
      </c>
      <c r="D319" s="126"/>
      <c r="E319" s="126">
        <v>0.1</v>
      </c>
    </row>
    <row r="320" spans="1:5">
      <c r="A320" t="s">
        <v>51</v>
      </c>
      <c r="B320" s="127" t="str">
        <f>"Gemeinde"&amp;_xlfn.XLOOKUP(A320,Auswahlliste!E:E,Auswahlliste!D:D,FALSE,FALSE)</f>
        <v>Gemeinde34</v>
      </c>
      <c r="C320" s="129" t="s">
        <v>439</v>
      </c>
      <c r="D320" s="126" t="s">
        <v>375</v>
      </c>
      <c r="E320" s="126">
        <v>0.3</v>
      </c>
    </row>
    <row r="321" spans="1:5">
      <c r="A321" t="s">
        <v>51</v>
      </c>
      <c r="B321" s="127" t="str">
        <f>"Gemeinde"&amp;_xlfn.XLOOKUP(A321,Auswahlliste!E:E,Auswahlliste!D:D,FALSE,FALSE)</f>
        <v>Gemeinde34</v>
      </c>
      <c r="C321" s="129" t="s">
        <v>524</v>
      </c>
      <c r="D321" s="126" t="s">
        <v>523</v>
      </c>
      <c r="E321" s="126">
        <v>0.3</v>
      </c>
    </row>
    <row r="322" spans="1:5">
      <c r="A322" t="s">
        <v>51</v>
      </c>
      <c r="B322" s="127" t="str">
        <f>"Gemeinde"&amp;_xlfn.XLOOKUP(A322,Auswahlliste!E:E,Auswahlliste!D:D,FALSE,FALSE)</f>
        <v>Gemeinde34</v>
      </c>
      <c r="C322" s="129" t="s">
        <v>435</v>
      </c>
      <c r="D322" s="126" t="s">
        <v>367</v>
      </c>
      <c r="E322" s="126">
        <v>0.3</v>
      </c>
    </row>
    <row r="323" spans="1:5">
      <c r="A323" t="s">
        <v>51</v>
      </c>
      <c r="B323" s="127" t="str">
        <f>"Gemeinde"&amp;_xlfn.XLOOKUP(A323,Auswahlliste!E:E,Auswahlliste!D:D,FALSE,FALSE)</f>
        <v>Gemeinde34</v>
      </c>
      <c r="C323" s="129" t="s">
        <v>189</v>
      </c>
      <c r="D323" s="126" t="s">
        <v>326</v>
      </c>
      <c r="E323" s="126">
        <v>0.4</v>
      </c>
    </row>
    <row r="324" spans="1:5">
      <c r="A324" t="s">
        <v>51</v>
      </c>
      <c r="B324" s="127" t="str">
        <f>"Gemeinde"&amp;_xlfn.XLOOKUP(A324,Auswahlliste!E:E,Auswahlliste!D:D,FALSE,FALSE)</f>
        <v>Gemeinde34</v>
      </c>
      <c r="C324" s="129" t="s">
        <v>525</v>
      </c>
      <c r="D324" s="126" t="s">
        <v>332</v>
      </c>
      <c r="E324" s="126">
        <v>0.45</v>
      </c>
    </row>
    <row r="325" spans="1:5">
      <c r="A325" t="s">
        <v>51</v>
      </c>
      <c r="B325" s="127" t="str">
        <f>"Gemeinde"&amp;_xlfn.XLOOKUP(A325,Auswahlliste!E:E,Auswahlliste!D:D,FALSE,FALSE)</f>
        <v>Gemeinde34</v>
      </c>
      <c r="C325" s="129" t="s">
        <v>461</v>
      </c>
      <c r="D325" s="126" t="s">
        <v>334</v>
      </c>
      <c r="E325" s="126">
        <v>0.45</v>
      </c>
    </row>
    <row r="326" spans="1:5">
      <c r="A326" t="s">
        <v>51</v>
      </c>
      <c r="B326" s="127" t="str">
        <f>"Gemeinde"&amp;_xlfn.XLOOKUP(A326,Auswahlliste!E:E,Auswahlliste!D:D,FALSE,FALSE)</f>
        <v>Gemeinde34</v>
      </c>
      <c r="C326" s="129" t="s">
        <v>197</v>
      </c>
      <c r="D326" s="126" t="s">
        <v>346</v>
      </c>
      <c r="E326" s="126">
        <v>0.6</v>
      </c>
    </row>
    <row r="327" spans="1:5">
      <c r="A327" t="s">
        <v>51</v>
      </c>
      <c r="B327" s="127" t="str">
        <f>"Gemeinde"&amp;_xlfn.XLOOKUP(A327,Auswahlliste!E:E,Auswahlliste!D:D,FALSE,FALSE)</f>
        <v>Gemeinde34</v>
      </c>
      <c r="C327" s="129" t="s">
        <v>526</v>
      </c>
      <c r="D327" s="126" t="s">
        <v>518</v>
      </c>
      <c r="E327" s="126">
        <v>0.6</v>
      </c>
    </row>
    <row r="328" spans="1:5">
      <c r="A328" t="s">
        <v>51</v>
      </c>
      <c r="B328" s="127" t="str">
        <f>"Gemeinde"&amp;_xlfn.XLOOKUP(A328,Auswahlliste!E:E,Auswahlliste!D:D,FALSE,FALSE)</f>
        <v>Gemeinde34</v>
      </c>
      <c r="C328" s="129" t="s">
        <v>527</v>
      </c>
      <c r="D328" s="126" t="s">
        <v>456</v>
      </c>
      <c r="E328" s="126">
        <v>0.6</v>
      </c>
    </row>
    <row r="329" spans="1:5">
      <c r="A329" t="s">
        <v>51</v>
      </c>
      <c r="B329" s="127" t="str">
        <f>"Gemeinde"&amp;_xlfn.XLOOKUP(A329,Auswahlliste!E:E,Auswahlliste!D:D,FALSE,FALSE)</f>
        <v>Gemeinde34</v>
      </c>
      <c r="C329" s="129" t="s">
        <v>15</v>
      </c>
      <c r="D329" s="126" t="s">
        <v>457</v>
      </c>
      <c r="E329" s="126">
        <v>0.35</v>
      </c>
    </row>
    <row r="330" spans="1:5">
      <c r="A330" t="s">
        <v>88</v>
      </c>
      <c r="B330" s="127" t="str">
        <f>"Gemeinde"&amp;_xlfn.XLOOKUP(A330,Auswahlliste!E:E,Auswahlliste!D:D,FALSE,FALSE)</f>
        <v>Gemeinde37</v>
      </c>
      <c r="C330" s="129" t="s">
        <v>458</v>
      </c>
      <c r="D330" s="126" t="s">
        <v>453</v>
      </c>
      <c r="E330" s="126">
        <v>0.1</v>
      </c>
    </row>
    <row r="331" spans="1:5">
      <c r="A331" t="s">
        <v>88</v>
      </c>
      <c r="B331" s="127" t="str">
        <f>"Gemeinde"&amp;_xlfn.XLOOKUP(A331,Auswahlliste!E:E,Auswahlliste!D:D,FALSE,FALSE)</f>
        <v>Gemeinde37</v>
      </c>
      <c r="C331" s="133" t="s">
        <v>459</v>
      </c>
      <c r="D331" s="136" t="s">
        <v>467</v>
      </c>
      <c r="E331" s="136">
        <v>0.45</v>
      </c>
    </row>
    <row r="332" spans="1:5">
      <c r="A332" t="s">
        <v>88</v>
      </c>
      <c r="B332" s="127" t="str">
        <f>"Gemeinde"&amp;_xlfn.XLOOKUP(A332,Auswahlliste!E:E,Auswahlliste!D:D,FALSE,FALSE)</f>
        <v>Gemeinde37</v>
      </c>
      <c r="C332" s="129" t="s">
        <v>460</v>
      </c>
      <c r="D332" s="126" t="s">
        <v>468</v>
      </c>
      <c r="E332" s="126">
        <v>0.49</v>
      </c>
    </row>
    <row r="333" spans="1:5">
      <c r="A333" t="s">
        <v>88</v>
      </c>
      <c r="B333" s="127" t="str">
        <f>"Gemeinde"&amp;_xlfn.XLOOKUP(A333,Auswahlliste!E:E,Auswahlliste!D:D,FALSE,FALSE)</f>
        <v>Gemeinde37</v>
      </c>
      <c r="C333" s="129" t="s">
        <v>435</v>
      </c>
      <c r="D333" s="126" t="s">
        <v>469</v>
      </c>
      <c r="E333" s="126">
        <v>0.37</v>
      </c>
    </row>
    <row r="334" spans="1:5">
      <c r="A334" t="s">
        <v>88</v>
      </c>
      <c r="B334" s="127" t="str">
        <f>"Gemeinde"&amp;_xlfn.XLOOKUP(A334,Auswahlliste!E:E,Auswahlliste!D:D,FALSE,FALSE)</f>
        <v>Gemeinde37</v>
      </c>
      <c r="C334" s="129" t="s">
        <v>470</v>
      </c>
      <c r="D334" s="126" t="s">
        <v>462</v>
      </c>
      <c r="E334" s="126">
        <v>0.52</v>
      </c>
    </row>
    <row r="335" spans="1:5">
      <c r="A335" t="s">
        <v>88</v>
      </c>
      <c r="B335" s="127" t="str">
        <f>"Gemeinde"&amp;_xlfn.XLOOKUP(A335,Auswahlliste!E:E,Auswahlliste!D:D,FALSE,FALSE)</f>
        <v>Gemeinde37</v>
      </c>
      <c r="C335" s="129" t="s">
        <v>463</v>
      </c>
      <c r="D335" s="126" t="s">
        <v>464</v>
      </c>
      <c r="E335" s="126">
        <v>0.39</v>
      </c>
    </row>
    <row r="336" spans="1:5">
      <c r="A336" t="s">
        <v>88</v>
      </c>
      <c r="B336" s="127" t="str">
        <f>"Gemeinde"&amp;_xlfn.XLOOKUP(A336,Auswahlliste!E:E,Auswahlliste!D:D,FALSE,FALSE)</f>
        <v>Gemeinde37</v>
      </c>
      <c r="C336" s="129" t="s">
        <v>369</v>
      </c>
      <c r="D336" s="126" t="s">
        <v>375</v>
      </c>
      <c r="E336" s="126">
        <v>0.28999999999999998</v>
      </c>
    </row>
    <row r="337" spans="1:5">
      <c r="A337" t="s">
        <v>88</v>
      </c>
      <c r="B337" s="127" t="str">
        <f>"Gemeinde"&amp;_xlfn.XLOOKUP(A337,Auswahlliste!E:E,Auswahlliste!D:D,FALSE,FALSE)</f>
        <v>Gemeinde37</v>
      </c>
      <c r="C337" s="129" t="s">
        <v>466</v>
      </c>
      <c r="D337" s="126" t="s">
        <v>371</v>
      </c>
      <c r="E337" s="126">
        <v>0.73</v>
      </c>
    </row>
    <row r="338" spans="1:5">
      <c r="A338" t="s">
        <v>88</v>
      </c>
      <c r="B338" s="127" t="str">
        <f>"Gemeinde"&amp;_xlfn.XLOOKUP(A338,Auswahlliste!E:E,Auswahlliste!D:D,FALSE,FALSE)</f>
        <v>Gemeinde37</v>
      </c>
      <c r="C338" s="129" t="s">
        <v>315</v>
      </c>
      <c r="D338" s="126" t="s">
        <v>457</v>
      </c>
      <c r="E338" s="126">
        <v>0.55000000000000004</v>
      </c>
    </row>
    <row r="339" spans="1:5">
      <c r="A339" t="s">
        <v>81</v>
      </c>
      <c r="B339" s="127" t="str">
        <f>"Gemeinde"&amp;_xlfn.XLOOKUP(A339,Auswahlliste!E:E,Auswahlliste!D:D,FALSE,FALSE)</f>
        <v>Gemeinde40</v>
      </c>
      <c r="C339" s="129" t="s">
        <v>439</v>
      </c>
      <c r="D339" s="126" t="s">
        <v>375</v>
      </c>
      <c r="E339" s="126">
        <v>0.25</v>
      </c>
    </row>
    <row r="340" spans="1:5">
      <c r="A340" t="s">
        <v>81</v>
      </c>
      <c r="B340" s="127" t="str">
        <f>"Gemeinde"&amp;_xlfn.XLOOKUP(A340,Auswahlliste!E:E,Auswahlliste!D:D,FALSE,FALSE)</f>
        <v>Gemeinde40</v>
      </c>
      <c r="C340" s="129" t="s">
        <v>435</v>
      </c>
      <c r="D340" s="126" t="s">
        <v>367</v>
      </c>
      <c r="E340" s="126">
        <v>0.25</v>
      </c>
    </row>
    <row r="341" spans="1:5">
      <c r="A341" t="s">
        <v>81</v>
      </c>
      <c r="B341" s="127" t="str">
        <f>"Gemeinde"&amp;_xlfn.XLOOKUP(A341,Auswahlliste!E:E,Auswahlliste!D:D,FALSE,FALSE)</f>
        <v>Gemeinde40</v>
      </c>
      <c r="C341" s="129" t="s">
        <v>189</v>
      </c>
      <c r="D341" s="126" t="s">
        <v>326</v>
      </c>
      <c r="E341" s="126">
        <v>0.4</v>
      </c>
    </row>
    <row r="342" spans="1:5">
      <c r="A342" t="s">
        <v>81</v>
      </c>
      <c r="B342" s="127" t="str">
        <f>"Gemeinde"&amp;_xlfn.XLOOKUP(A342,Auswahlliste!E:E,Auswahlliste!D:D,FALSE,FALSE)</f>
        <v>Gemeinde40</v>
      </c>
      <c r="C342" s="129" t="s">
        <v>473</v>
      </c>
      <c r="D342" s="126" t="s">
        <v>332</v>
      </c>
      <c r="E342" s="126">
        <v>0.35</v>
      </c>
    </row>
    <row r="343" spans="1:5">
      <c r="A343" t="s">
        <v>81</v>
      </c>
      <c r="B343" s="127" t="str">
        <f>"Gemeinde"&amp;_xlfn.XLOOKUP(A343,Auswahlliste!E:E,Auswahlliste!D:D,FALSE,FALSE)</f>
        <v>Gemeinde40</v>
      </c>
      <c r="C343" s="129" t="s">
        <v>474</v>
      </c>
      <c r="D343" s="126" t="s">
        <v>334</v>
      </c>
      <c r="E343" s="126">
        <v>0.35</v>
      </c>
    </row>
    <row r="344" spans="1:5">
      <c r="A344" t="s">
        <v>81</v>
      </c>
      <c r="B344" s="127" t="str">
        <f>"Gemeinde"&amp;_xlfn.XLOOKUP(A344,Auswahlliste!E:E,Auswahlliste!D:D,FALSE,FALSE)</f>
        <v>Gemeinde40</v>
      </c>
      <c r="C344" s="133" t="s">
        <v>397</v>
      </c>
      <c r="D344" s="136" t="s">
        <v>309</v>
      </c>
      <c r="E344" s="136">
        <v>0.5</v>
      </c>
    </row>
    <row r="345" spans="1:5">
      <c r="A345" t="s">
        <v>81</v>
      </c>
      <c r="B345" s="127" t="str">
        <f>"Gemeinde"&amp;_xlfn.XLOOKUP(A345,Auswahlliste!E:E,Auswahlliste!D:D,FALSE,FALSE)</f>
        <v>Gemeinde40</v>
      </c>
      <c r="C345" s="129" t="s">
        <v>343</v>
      </c>
      <c r="D345" s="126" t="s">
        <v>344</v>
      </c>
      <c r="E345" s="126">
        <v>0.4</v>
      </c>
    </row>
    <row r="346" spans="1:5">
      <c r="A346" t="s">
        <v>81</v>
      </c>
      <c r="B346" s="127" t="str">
        <f>"Gemeinde"&amp;_xlfn.XLOOKUP(A346,Auswahlliste!E:E,Auswahlliste!D:D,FALSE,FALSE)</f>
        <v>Gemeinde40</v>
      </c>
      <c r="C346" s="129" t="s">
        <v>15</v>
      </c>
      <c r="D346" s="126" t="s">
        <v>386</v>
      </c>
      <c r="E346" s="126">
        <v>0.3</v>
      </c>
    </row>
    <row r="347" spans="1:5">
      <c r="A347" s="150" t="s">
        <v>99</v>
      </c>
      <c r="B347" s="127" t="str">
        <f>"Gemeinde"&amp;_xlfn.XLOOKUP(A347,Auswahlliste!E:E,Auswahlliste!D:D,FALSE,FALSE)</f>
        <v>Gemeinde42</v>
      </c>
      <c r="C347" s="129" t="s">
        <v>439</v>
      </c>
      <c r="D347" s="126" t="s">
        <v>375</v>
      </c>
      <c r="E347" s="126">
        <v>0.25</v>
      </c>
    </row>
    <row r="348" spans="1:5">
      <c r="A348" s="150" t="s">
        <v>99</v>
      </c>
      <c r="B348" s="127" t="str">
        <f>"Gemeinde"&amp;_xlfn.XLOOKUP(A348,Auswahlliste!E:E,Auswahlliste!D:D,FALSE,FALSE)</f>
        <v>Gemeinde42</v>
      </c>
      <c r="C348" s="129" t="s">
        <v>435</v>
      </c>
      <c r="D348" s="126" t="s">
        <v>367</v>
      </c>
      <c r="E348" s="126">
        <v>0.35</v>
      </c>
    </row>
    <row r="349" spans="1:5">
      <c r="A349" s="150" t="s">
        <v>99</v>
      </c>
      <c r="B349" s="127" t="str">
        <f>"Gemeinde"&amp;_xlfn.XLOOKUP(A349,Auswahlliste!E:E,Auswahlliste!D:D,FALSE,FALSE)</f>
        <v>Gemeinde42</v>
      </c>
      <c r="C349" s="129" t="s">
        <v>189</v>
      </c>
      <c r="D349" s="126" t="s">
        <v>326</v>
      </c>
      <c r="E349" s="126">
        <v>0.4</v>
      </c>
    </row>
    <row r="350" spans="1:5">
      <c r="A350" s="150" t="s">
        <v>99</v>
      </c>
      <c r="B350" s="127" t="str">
        <f>"Gemeinde"&amp;_xlfn.XLOOKUP(A350,Auswahlliste!E:E,Auswahlliste!D:D,FALSE,FALSE)</f>
        <v>Gemeinde42</v>
      </c>
      <c r="C350" s="129" t="s">
        <v>405</v>
      </c>
      <c r="D350" s="126" t="s">
        <v>332</v>
      </c>
      <c r="E350" s="126">
        <v>0.4</v>
      </c>
    </row>
    <row r="351" spans="1:5">
      <c r="A351" s="150" t="s">
        <v>99</v>
      </c>
      <c r="B351" s="127" t="str">
        <f>"Gemeinde"&amp;_xlfn.XLOOKUP(A351,Auswahlliste!E:E,Auswahlliste!D:D,FALSE,FALSE)</f>
        <v>Gemeinde42</v>
      </c>
      <c r="C351" s="129" t="s">
        <v>631</v>
      </c>
      <c r="D351" s="126" t="s">
        <v>338</v>
      </c>
      <c r="E351" s="126">
        <v>0.7</v>
      </c>
    </row>
    <row r="352" spans="1:5">
      <c r="A352" s="150" t="s">
        <v>99</v>
      </c>
      <c r="B352" s="127" t="str">
        <f>"Gemeinde"&amp;_xlfn.XLOOKUP(A352,Auswahlliste!E:E,Auswahlliste!D:D,FALSE,FALSE)</f>
        <v>Gemeinde42</v>
      </c>
      <c r="C352" s="129" t="s">
        <v>343</v>
      </c>
      <c r="D352" s="126" t="s">
        <v>344</v>
      </c>
      <c r="E352" s="126">
        <v>0.5</v>
      </c>
    </row>
    <row r="353" spans="1:5">
      <c r="A353" s="150" t="s">
        <v>99</v>
      </c>
      <c r="B353" s="127" t="str">
        <f>"Gemeinde"&amp;_xlfn.XLOOKUP(A353,Auswahlliste!E:E,Auswahlliste!D:D,FALSE,FALSE)</f>
        <v>Gemeinde42</v>
      </c>
      <c r="C353" s="129" t="s">
        <v>15</v>
      </c>
      <c r="D353" s="126" t="s">
        <v>386</v>
      </c>
      <c r="E353" s="126">
        <v>0.35</v>
      </c>
    </row>
    <row r="354" spans="1:5">
      <c r="A354" s="150" t="s">
        <v>99</v>
      </c>
      <c r="B354" s="127" t="str">
        <f>"Gemeinde"&amp;_xlfn.XLOOKUP(A354,Auswahlliste!E:E,Auswahlliste!D:D,FALSE,FALSE)</f>
        <v>Gemeinde42</v>
      </c>
      <c r="C354" s="129" t="s">
        <v>394</v>
      </c>
      <c r="D354" s="126" t="s">
        <v>632</v>
      </c>
      <c r="E354" s="126">
        <v>0</v>
      </c>
    </row>
    <row r="355" spans="1:5">
      <c r="A355" s="150" t="s">
        <v>99</v>
      </c>
      <c r="B355" s="127" t="str">
        <f>"Gemeinde"&amp;_xlfn.XLOOKUP(A355,Auswahlliste!E:E,Auswahlliste!D:D,FALSE,FALSE)</f>
        <v>Gemeinde42</v>
      </c>
      <c r="C355" s="129" t="s">
        <v>308</v>
      </c>
      <c r="D355" s="126" t="s">
        <v>309</v>
      </c>
      <c r="E355" s="126">
        <v>0.1</v>
      </c>
    </row>
    <row r="356" spans="1:5">
      <c r="A356" t="s">
        <v>97</v>
      </c>
      <c r="B356" s="127" t="str">
        <f>"Gemeinde"&amp;_xlfn.XLOOKUP(A356,Auswahlliste!E:E,Auswahlliste!D:D,FALSE,FALSE)</f>
        <v>Gemeinde43</v>
      </c>
      <c r="C356" s="133" t="s">
        <v>439</v>
      </c>
      <c r="D356" s="136" t="s">
        <v>375</v>
      </c>
      <c r="E356" s="136">
        <v>0.25</v>
      </c>
    </row>
    <row r="357" spans="1:5">
      <c r="A357" t="s">
        <v>97</v>
      </c>
      <c r="B357" s="127" t="str">
        <f>"Gemeinde"&amp;_xlfn.XLOOKUP(A357,Auswahlliste!E:E,Auswahlliste!D:D,FALSE,FALSE)</f>
        <v>Gemeinde43</v>
      </c>
      <c r="C357" s="129" t="s">
        <v>435</v>
      </c>
      <c r="D357" s="126" t="s">
        <v>367</v>
      </c>
      <c r="E357" s="126">
        <v>0.35</v>
      </c>
    </row>
    <row r="358" spans="1:5">
      <c r="A358" t="s">
        <v>97</v>
      </c>
      <c r="B358" s="127" t="str">
        <f>"Gemeinde"&amp;_xlfn.XLOOKUP(A358,Auswahlliste!E:E,Auswahlliste!D:D,FALSE,FALSE)</f>
        <v>Gemeinde43</v>
      </c>
      <c r="C358" s="129" t="s">
        <v>189</v>
      </c>
      <c r="D358" s="126" t="s">
        <v>326</v>
      </c>
      <c r="E358" s="126">
        <v>0.4</v>
      </c>
    </row>
    <row r="359" spans="1:5">
      <c r="A359" t="s">
        <v>97</v>
      </c>
      <c r="B359" s="127" t="str">
        <f>"Gemeinde"&amp;_xlfn.XLOOKUP(A359,Auswahlliste!E:E,Auswahlliste!D:D,FALSE,FALSE)</f>
        <v>Gemeinde43</v>
      </c>
      <c r="C359" s="129" t="s">
        <v>405</v>
      </c>
      <c r="D359" s="126" t="s">
        <v>332</v>
      </c>
      <c r="E359" s="126">
        <v>0.4</v>
      </c>
    </row>
    <row r="360" spans="1:5">
      <c r="A360" t="s">
        <v>97</v>
      </c>
      <c r="B360" s="127" t="str">
        <f>"Gemeinde"&amp;_xlfn.XLOOKUP(A360,Auswahlliste!E:E,Auswahlliste!D:D,FALSE,FALSE)</f>
        <v>Gemeinde43</v>
      </c>
      <c r="C360" s="129" t="s">
        <v>405</v>
      </c>
      <c r="D360" s="126" t="s">
        <v>334</v>
      </c>
      <c r="E360" s="126">
        <v>0.45</v>
      </c>
    </row>
    <row r="361" spans="1:5">
      <c r="A361" t="s">
        <v>97</v>
      </c>
      <c r="B361" s="127" t="str">
        <f>"Gemeinde"&amp;_xlfn.XLOOKUP(A361,Auswahlliste!E:E,Auswahlliste!D:D,FALSE,FALSE)</f>
        <v>Gemeinde43</v>
      </c>
      <c r="C361" s="129" t="s">
        <v>517</v>
      </c>
      <c r="D361" s="126" t="s">
        <v>309</v>
      </c>
      <c r="E361" s="126">
        <v>0.7</v>
      </c>
    </row>
    <row r="362" spans="1:5">
      <c r="A362" t="s">
        <v>97</v>
      </c>
      <c r="B362" s="127" t="str">
        <f>"Gemeinde"&amp;_xlfn.XLOOKUP(A362,Auswahlliste!E:E,Auswahlliste!D:D,FALSE,FALSE)</f>
        <v>Gemeinde43</v>
      </c>
      <c r="C362" s="129" t="s">
        <v>343</v>
      </c>
      <c r="D362" s="126" t="s">
        <v>344</v>
      </c>
      <c r="E362" s="126">
        <v>0.5</v>
      </c>
    </row>
    <row r="363" spans="1:5">
      <c r="A363" t="s">
        <v>97</v>
      </c>
      <c r="B363" s="127" t="str">
        <f>"Gemeinde"&amp;_xlfn.XLOOKUP(A363,Auswahlliste!E:E,Auswahlliste!D:D,FALSE,FALSE)</f>
        <v>Gemeinde43</v>
      </c>
      <c r="C363" s="129" t="s">
        <v>15</v>
      </c>
      <c r="D363" s="126" t="s">
        <v>386</v>
      </c>
      <c r="E363" s="126">
        <v>0.35</v>
      </c>
    </row>
    <row r="364" spans="1:5">
      <c r="A364" t="s">
        <v>54</v>
      </c>
      <c r="B364" s="127" t="str">
        <f>"Gemeinde"&amp;_xlfn.XLOOKUP(A364,Auswahlliste!E:E,Auswahlliste!D:D,FALSE,FALSE)</f>
        <v>Gemeinde44</v>
      </c>
      <c r="C364" s="129" t="s">
        <v>586</v>
      </c>
      <c r="D364" s="126" t="s">
        <v>472</v>
      </c>
      <c r="E364" s="126">
        <v>0.15</v>
      </c>
    </row>
    <row r="365" spans="1:5">
      <c r="A365" t="s">
        <v>54</v>
      </c>
      <c r="B365" s="127" t="str">
        <f>"Gemeinde"&amp;_xlfn.XLOOKUP(A365,Auswahlliste!E:E,Auswahlliste!D:D,FALSE,FALSE)</f>
        <v>Gemeinde44</v>
      </c>
      <c r="C365" s="129" t="s">
        <v>587</v>
      </c>
      <c r="D365" s="126" t="s">
        <v>367</v>
      </c>
      <c r="E365" s="126">
        <v>0.15</v>
      </c>
    </row>
    <row r="366" spans="1:5">
      <c r="A366" t="s">
        <v>54</v>
      </c>
      <c r="B366" s="127" t="str">
        <f>"Gemeinde"&amp;_xlfn.XLOOKUP(A366,Auswahlliste!E:E,Auswahlliste!D:D,FALSE,FALSE)</f>
        <v>Gemeinde44</v>
      </c>
      <c r="C366" s="129" t="s">
        <v>588</v>
      </c>
      <c r="D366" s="126" t="s">
        <v>326</v>
      </c>
      <c r="E366" s="126">
        <v>0.25</v>
      </c>
    </row>
    <row r="367" spans="1:5">
      <c r="A367" t="s">
        <v>54</v>
      </c>
      <c r="B367" s="127" t="str">
        <f>"Gemeinde"&amp;_xlfn.XLOOKUP(A367,Auswahlliste!E:E,Auswahlliste!D:D,FALSE,FALSE)</f>
        <v>Gemeinde44</v>
      </c>
      <c r="C367" s="129" t="s">
        <v>589</v>
      </c>
      <c r="D367" s="126" t="s">
        <v>355</v>
      </c>
      <c r="E367" s="126">
        <v>0.3</v>
      </c>
    </row>
    <row r="368" spans="1:5">
      <c r="A368" t="s">
        <v>54</v>
      </c>
      <c r="B368" s="127" t="str">
        <f>"Gemeinde"&amp;_xlfn.XLOOKUP(A368,Auswahlliste!E:E,Auswahlliste!D:D,FALSE,FALSE)</f>
        <v>Gemeinde44</v>
      </c>
      <c r="C368" s="129" t="s">
        <v>590</v>
      </c>
      <c r="D368" s="126" t="s">
        <v>332</v>
      </c>
      <c r="E368" s="126">
        <v>0.25</v>
      </c>
    </row>
    <row r="369" spans="1:5">
      <c r="A369" t="s">
        <v>54</v>
      </c>
      <c r="B369" s="127" t="str">
        <f>"Gemeinde"&amp;_xlfn.XLOOKUP(A369,Auswahlliste!E:E,Auswahlliste!D:D,FALSE,FALSE)</f>
        <v>Gemeinde44</v>
      </c>
      <c r="C369" s="129" t="s">
        <v>591</v>
      </c>
      <c r="D369" s="126" t="s">
        <v>334</v>
      </c>
      <c r="E369" s="126">
        <v>0.35</v>
      </c>
    </row>
    <row r="370" spans="1:5">
      <c r="A370" t="s">
        <v>54</v>
      </c>
      <c r="B370" s="127" t="str">
        <f>"Gemeinde"&amp;_xlfn.XLOOKUP(A370,Auswahlliste!E:E,Auswahlliste!D:D,FALSE,FALSE)</f>
        <v>Gemeinde44</v>
      </c>
      <c r="C370" s="129" t="s">
        <v>763</v>
      </c>
      <c r="D370" s="126" t="s">
        <v>593</v>
      </c>
      <c r="E370" s="126">
        <v>0.45</v>
      </c>
    </row>
    <row r="371" spans="1:5">
      <c r="A371" t="s">
        <v>54</v>
      </c>
      <c r="B371" s="127" t="str">
        <f>"Gemeinde"&amp;_xlfn.XLOOKUP(A371,Auswahlliste!E:E,Auswahlliste!D:D,FALSE,FALSE)</f>
        <v>Gemeinde44</v>
      </c>
      <c r="C371" s="129" t="s">
        <v>764</v>
      </c>
      <c r="D371" s="126" t="s">
        <v>341</v>
      </c>
      <c r="E371" s="126">
        <v>0.55000000000000004</v>
      </c>
    </row>
    <row r="372" spans="1:5">
      <c r="A372" t="s">
        <v>54</v>
      </c>
      <c r="B372" s="127" t="str">
        <f>"Gemeinde"&amp;_xlfn.XLOOKUP(A372,Auswahlliste!E:E,Auswahlliste!D:D,FALSE,FALSE)</f>
        <v>Gemeinde44</v>
      </c>
      <c r="C372" s="129" t="s">
        <v>594</v>
      </c>
      <c r="D372" s="126" t="s">
        <v>297</v>
      </c>
      <c r="E372" s="126">
        <v>0.35</v>
      </c>
    </row>
    <row r="373" spans="1:5">
      <c r="A373" t="s">
        <v>54</v>
      </c>
      <c r="B373" s="127" t="str">
        <f>"Gemeinde"&amp;_xlfn.XLOOKUP(A373,Auswahlliste!E:E,Auswahlliste!D:D,FALSE,FALSE)</f>
        <v>Gemeinde44</v>
      </c>
      <c r="C373" s="133" t="s">
        <v>595</v>
      </c>
      <c r="D373" s="136" t="s">
        <v>346</v>
      </c>
      <c r="E373" s="136">
        <v>0.35</v>
      </c>
    </row>
    <row r="374" spans="1:5">
      <c r="A374" t="s">
        <v>54</v>
      </c>
      <c r="B374" s="127" t="str">
        <f>"Gemeinde"&amp;_xlfn.XLOOKUP(A374,Auswahlliste!E:E,Auswahlliste!D:D,FALSE,FALSE)</f>
        <v>Gemeinde44</v>
      </c>
      <c r="C374" s="129" t="s">
        <v>15</v>
      </c>
      <c r="D374" s="126" t="s">
        <v>317</v>
      </c>
      <c r="E374" s="126">
        <v>0.2</v>
      </c>
    </row>
    <row r="375" spans="1:5">
      <c r="A375" t="s">
        <v>54</v>
      </c>
      <c r="B375" s="127" t="str">
        <f>"Gemeinde"&amp;_xlfn.XLOOKUP(A375,Auswahlliste!E:E,Auswahlliste!D:D,FALSE,FALSE)</f>
        <v>Gemeinde44</v>
      </c>
      <c r="C375" s="129" t="s">
        <v>419</v>
      </c>
      <c r="D375" s="126" t="s">
        <v>477</v>
      </c>
      <c r="E375" s="126">
        <v>0.15</v>
      </c>
    </row>
    <row r="376" spans="1:5">
      <c r="A376" t="s">
        <v>54</v>
      </c>
      <c r="B376" s="127" t="str">
        <f>"Gemeinde"&amp;_xlfn.XLOOKUP(A376,Auswahlliste!E:E,Auswahlliste!D:D,FALSE,FALSE)</f>
        <v>Gemeinde44</v>
      </c>
      <c r="C376" s="129" t="s">
        <v>308</v>
      </c>
      <c r="D376" s="126" t="s">
        <v>309</v>
      </c>
      <c r="E376" s="126">
        <v>0</v>
      </c>
    </row>
    <row r="377" spans="1:5">
      <c r="A377" t="s">
        <v>54</v>
      </c>
      <c r="B377" s="127" t="str">
        <f>"Gemeinde"&amp;_xlfn.XLOOKUP(A377,Auswahlliste!E:E,Auswahlliste!D:D,FALSE,FALSE)</f>
        <v>Gemeinde44</v>
      </c>
      <c r="C377" s="129" t="s">
        <v>596</v>
      </c>
      <c r="D377" s="126" t="s">
        <v>306</v>
      </c>
      <c r="E377" s="126">
        <v>0.05</v>
      </c>
    </row>
    <row r="378" spans="1:5">
      <c r="A378" t="s">
        <v>54</v>
      </c>
      <c r="B378" s="127" t="str">
        <f>"Gemeinde"&amp;_xlfn.XLOOKUP(A378,Auswahlliste!E:E,Auswahlliste!D:D,FALSE,FALSE)</f>
        <v>Gemeinde44</v>
      </c>
      <c r="C378" s="129" t="s">
        <v>373</v>
      </c>
      <c r="D378" s="126" t="s">
        <v>319</v>
      </c>
      <c r="E378" s="126">
        <v>0</v>
      </c>
    </row>
    <row r="379" spans="1:5">
      <c r="A379" t="s">
        <v>54</v>
      </c>
      <c r="B379" s="127" t="str">
        <f>"Gemeinde"&amp;_xlfn.XLOOKUP(A379,Auswahlliste!E:E,Auswahlliste!D:D,FALSE,FALSE)</f>
        <v>Gemeinde44</v>
      </c>
      <c r="C379" s="129" t="s">
        <v>342</v>
      </c>
      <c r="D379" s="126" t="s">
        <v>426</v>
      </c>
      <c r="E379" s="126">
        <v>0.15</v>
      </c>
    </row>
    <row r="380" spans="1:5">
      <c r="A380" t="s">
        <v>91</v>
      </c>
      <c r="B380" s="127" t="str">
        <f>"Gemeinde"&amp;_xlfn.XLOOKUP(A380,Auswahlliste!E:E,Auswahlliste!D:D,FALSE,FALSE)</f>
        <v>Gemeinde45</v>
      </c>
      <c r="C380" s="129" t="s">
        <v>560</v>
      </c>
      <c r="D380" s="126" t="s">
        <v>375</v>
      </c>
      <c r="E380" s="126">
        <v>0.28999999999999998</v>
      </c>
    </row>
    <row r="381" spans="1:5">
      <c r="A381" t="s">
        <v>91</v>
      </c>
      <c r="B381" s="127" t="str">
        <f>"Gemeinde"&amp;_xlfn.XLOOKUP(A381,Auswahlliste!E:E,Auswahlliste!D:D,FALSE,FALSE)</f>
        <v>Gemeinde45</v>
      </c>
      <c r="C381" s="129" t="s">
        <v>435</v>
      </c>
      <c r="D381" s="126" t="s">
        <v>367</v>
      </c>
      <c r="E381" s="126">
        <v>0.33</v>
      </c>
    </row>
    <row r="382" spans="1:5">
      <c r="A382" t="s">
        <v>91</v>
      </c>
      <c r="B382" s="127" t="str">
        <f>"Gemeinde"&amp;_xlfn.XLOOKUP(A382,Auswahlliste!E:E,Auswahlliste!D:D,FALSE,FALSE)</f>
        <v>Gemeinde45</v>
      </c>
      <c r="C382" s="129" t="s">
        <v>189</v>
      </c>
      <c r="D382" s="126" t="s">
        <v>326</v>
      </c>
      <c r="E382" s="126">
        <v>0.37</v>
      </c>
    </row>
    <row r="383" spans="1:5">
      <c r="A383" t="s">
        <v>91</v>
      </c>
      <c r="B383" s="127" t="str">
        <f>"Gemeinde"&amp;_xlfn.XLOOKUP(A383,Auswahlliste!E:E,Auswahlliste!D:D,FALSE,FALSE)</f>
        <v>Gemeinde45</v>
      </c>
      <c r="C383" s="129" t="s">
        <v>190</v>
      </c>
      <c r="D383" s="126" t="s">
        <v>355</v>
      </c>
      <c r="E383" s="126">
        <v>0.41</v>
      </c>
    </row>
    <row r="384" spans="1:5">
      <c r="A384" t="s">
        <v>91</v>
      </c>
      <c r="B384" s="127" t="str">
        <f>"Gemeinde"&amp;_xlfn.XLOOKUP(A384,Auswahlliste!E:E,Auswahlliste!D:D,FALSE,FALSE)</f>
        <v>Gemeinde45</v>
      </c>
      <c r="C384" s="129" t="s">
        <v>473</v>
      </c>
      <c r="D384" s="126" t="s">
        <v>332</v>
      </c>
      <c r="E384" s="126">
        <v>0.45</v>
      </c>
    </row>
    <row r="385" spans="1:5">
      <c r="A385" t="s">
        <v>91</v>
      </c>
      <c r="B385" s="127" t="str">
        <f>"Gemeinde"&amp;_xlfn.XLOOKUP(A385,Auswahlliste!E:E,Auswahlliste!D:D,FALSE,FALSE)</f>
        <v>Gemeinde45</v>
      </c>
      <c r="C385" s="129" t="s">
        <v>474</v>
      </c>
      <c r="D385" s="126" t="s">
        <v>334</v>
      </c>
      <c r="E385" s="126">
        <v>0.5</v>
      </c>
    </row>
    <row r="386" spans="1:5">
      <c r="A386" t="s">
        <v>91</v>
      </c>
      <c r="B386" s="127" t="str">
        <f>"Gemeinde"&amp;_xlfn.XLOOKUP(A386,Auswahlliste!E:E,Auswahlliste!D:D,FALSE,FALSE)</f>
        <v>Gemeinde45</v>
      </c>
      <c r="C386" s="129" t="s">
        <v>475</v>
      </c>
      <c r="D386" s="126" t="s">
        <v>361</v>
      </c>
      <c r="E386" s="126">
        <v>0.55000000000000004</v>
      </c>
    </row>
    <row r="387" spans="1:5">
      <c r="A387" t="s">
        <v>91</v>
      </c>
      <c r="B387" s="127" t="str">
        <f>"Gemeinde"&amp;_xlfn.XLOOKUP(A387,Auswahlliste!E:E,Auswahlliste!D:D,FALSE,FALSE)</f>
        <v>Gemeinde45</v>
      </c>
      <c r="C387" s="129" t="s">
        <v>561</v>
      </c>
      <c r="D387" s="126" t="s">
        <v>382</v>
      </c>
      <c r="E387" s="126">
        <v>0.51</v>
      </c>
    </row>
    <row r="388" spans="1:5">
      <c r="A388" t="s">
        <v>91</v>
      </c>
      <c r="B388" s="127" t="str">
        <f>"Gemeinde"&amp;_xlfn.XLOOKUP(A388,Auswahlliste!E:E,Auswahlliste!D:D,FALSE,FALSE)</f>
        <v>Gemeinde45</v>
      </c>
      <c r="C388" s="129" t="s">
        <v>562</v>
      </c>
      <c r="D388" s="126" t="s">
        <v>531</v>
      </c>
      <c r="E388" s="126">
        <v>0.54</v>
      </c>
    </row>
    <row r="389" spans="1:5">
      <c r="A389" t="s">
        <v>91</v>
      </c>
      <c r="B389" s="127" t="str">
        <f>"Gemeinde"&amp;_xlfn.XLOOKUP(A389,Auswahlliste!E:E,Auswahlliste!D:D,FALSE,FALSE)</f>
        <v>Gemeinde45</v>
      </c>
      <c r="C389" s="129" t="s">
        <v>197</v>
      </c>
      <c r="D389" s="126" t="s">
        <v>346</v>
      </c>
      <c r="E389" s="126">
        <v>0.65</v>
      </c>
    </row>
    <row r="390" spans="1:5">
      <c r="A390" t="s">
        <v>91</v>
      </c>
      <c r="B390" s="127" t="str">
        <f>"Gemeinde"&amp;_xlfn.XLOOKUP(A390,Auswahlliste!E:E,Auswahlliste!D:D,FALSE,FALSE)</f>
        <v>Gemeinde45</v>
      </c>
      <c r="C390" s="133" t="s">
        <v>13</v>
      </c>
      <c r="D390" s="136" t="s">
        <v>432</v>
      </c>
      <c r="E390" s="136">
        <v>0.55000000000000004</v>
      </c>
    </row>
    <row r="391" spans="1:5">
      <c r="A391" t="s">
        <v>91</v>
      </c>
      <c r="B391" s="127" t="str">
        <f>"Gemeinde"&amp;_xlfn.XLOOKUP(A391,Auswahlliste!E:E,Auswahlliste!D:D,FALSE,FALSE)</f>
        <v>Gemeinde45</v>
      </c>
      <c r="C391" s="129" t="s">
        <v>14</v>
      </c>
      <c r="D391" s="126" t="s">
        <v>499</v>
      </c>
      <c r="E391" s="126">
        <v>0.6</v>
      </c>
    </row>
    <row r="392" spans="1:5">
      <c r="A392" t="s">
        <v>91</v>
      </c>
      <c r="B392" s="127" t="str">
        <f>"Gemeinde"&amp;_xlfn.XLOOKUP(A392,Auswahlliste!E:E,Auswahlliste!D:D,FALSE,FALSE)</f>
        <v>Gemeinde45</v>
      </c>
      <c r="C392" s="129" t="s">
        <v>563</v>
      </c>
      <c r="D392" s="126" t="s">
        <v>556</v>
      </c>
      <c r="E392" s="126">
        <v>0.35</v>
      </c>
    </row>
    <row r="393" spans="1:5">
      <c r="A393" t="s">
        <v>91</v>
      </c>
      <c r="B393" s="127" t="str">
        <f>"Gemeinde"&amp;_xlfn.XLOOKUP(A393,Auswahlliste!E:E,Auswahlliste!D:D,FALSE,FALSE)</f>
        <v>Gemeinde45</v>
      </c>
      <c r="C393" s="129" t="s">
        <v>564</v>
      </c>
      <c r="D393" s="126" t="s">
        <v>557</v>
      </c>
      <c r="E393" s="126">
        <v>0.27</v>
      </c>
    </row>
    <row r="394" spans="1:5">
      <c r="A394" t="s">
        <v>91</v>
      </c>
      <c r="B394" s="127" t="str">
        <f>"Gemeinde"&amp;_xlfn.XLOOKUP(A394,Auswahlliste!E:E,Auswahlliste!D:D,FALSE,FALSE)</f>
        <v>Gemeinde45</v>
      </c>
      <c r="C394" s="129" t="s">
        <v>565</v>
      </c>
      <c r="D394" s="126" t="s">
        <v>558</v>
      </c>
      <c r="E394" s="126">
        <v>0.18</v>
      </c>
    </row>
    <row r="395" spans="1:5">
      <c r="A395" t="s">
        <v>91</v>
      </c>
      <c r="B395" s="127" t="str">
        <f>"Gemeinde"&amp;_xlfn.XLOOKUP(A395,Auswahlliste!E:E,Auswahlliste!D:D,FALSE,FALSE)</f>
        <v>Gemeinde45</v>
      </c>
      <c r="C395" s="129" t="s">
        <v>566</v>
      </c>
      <c r="D395" s="126" t="s">
        <v>559</v>
      </c>
      <c r="E395" s="126">
        <v>0.09</v>
      </c>
    </row>
    <row r="396" spans="1:5">
      <c r="A396" t="s">
        <v>91</v>
      </c>
      <c r="B396" s="127" t="str">
        <f>"Gemeinde"&amp;_xlfn.XLOOKUP(A396,Auswahlliste!E:E,Auswahlliste!D:D,FALSE,FALSE)</f>
        <v>Gemeinde45</v>
      </c>
      <c r="C396" s="129" t="s">
        <v>640</v>
      </c>
      <c r="D396" s="126" t="s">
        <v>426</v>
      </c>
      <c r="E396" s="126">
        <v>0.09</v>
      </c>
    </row>
    <row r="397" spans="1:5">
      <c r="A397" t="s">
        <v>65</v>
      </c>
      <c r="B397" s="127" t="str">
        <f>"Gemeinde"&amp;_xlfn.XLOOKUP(A397,Auswahlliste!E:E,Auswahlliste!D:D,FALSE,FALSE)</f>
        <v>Gemeinde46</v>
      </c>
      <c r="C397" s="129" t="s">
        <v>439</v>
      </c>
      <c r="D397" s="127" t="s">
        <v>375</v>
      </c>
      <c r="E397" s="126">
        <v>0.3</v>
      </c>
    </row>
    <row r="398" spans="1:5">
      <c r="A398" t="s">
        <v>65</v>
      </c>
      <c r="B398" s="127" t="str">
        <f>"Gemeinde"&amp;_xlfn.XLOOKUP(A398,Auswahlliste!E:E,Auswahlliste!D:D,FALSE,FALSE)</f>
        <v>Gemeinde46</v>
      </c>
      <c r="C398" s="129" t="s">
        <v>366</v>
      </c>
      <c r="D398" s="127" t="s">
        <v>367</v>
      </c>
      <c r="E398" s="126">
        <v>0.3</v>
      </c>
    </row>
    <row r="399" spans="1:5">
      <c r="A399" t="s">
        <v>65</v>
      </c>
      <c r="B399" s="127" t="str">
        <f>"Gemeinde"&amp;_xlfn.XLOOKUP(A399,Auswahlliste!E:E,Auswahlliste!D:D,FALSE,FALSE)</f>
        <v>Gemeinde46</v>
      </c>
      <c r="C399" s="133" t="s">
        <v>377</v>
      </c>
      <c r="D399" s="31" t="s">
        <v>326</v>
      </c>
      <c r="E399" s="136">
        <v>0.3</v>
      </c>
    </row>
    <row r="400" spans="1:5">
      <c r="A400" t="s">
        <v>65</v>
      </c>
      <c r="B400" s="127" t="str">
        <f>"Gemeinde"&amp;_xlfn.XLOOKUP(A400,Auswahlliste!E:E,Auswahlliste!D:D,FALSE,FALSE)</f>
        <v>Gemeinde46</v>
      </c>
      <c r="C400" s="129" t="s">
        <v>379</v>
      </c>
      <c r="D400" s="127" t="s">
        <v>332</v>
      </c>
      <c r="E400" s="126">
        <v>0.4</v>
      </c>
    </row>
    <row r="401" spans="1:5">
      <c r="A401" t="s">
        <v>65</v>
      </c>
      <c r="B401" s="127" t="str">
        <f>"Gemeinde"&amp;_xlfn.XLOOKUP(A401,Auswahlliste!E:E,Auswahlliste!D:D,FALSE,FALSE)</f>
        <v>Gemeinde46</v>
      </c>
      <c r="C401" s="129" t="s">
        <v>380</v>
      </c>
      <c r="D401" s="127" t="s">
        <v>334</v>
      </c>
      <c r="E401" s="126">
        <v>0.45</v>
      </c>
    </row>
    <row r="402" spans="1:5">
      <c r="A402" t="s">
        <v>65</v>
      </c>
      <c r="B402" s="127" t="str">
        <f>"Gemeinde"&amp;_xlfn.XLOOKUP(A402,Auswahlliste!E:E,Auswahlliste!D:D,FALSE,FALSE)</f>
        <v>Gemeinde46</v>
      </c>
      <c r="C402" s="129" t="s">
        <v>388</v>
      </c>
      <c r="D402" s="127" t="s">
        <v>389</v>
      </c>
      <c r="E402" s="126">
        <v>0.6</v>
      </c>
    </row>
    <row r="403" spans="1:5">
      <c r="A403" t="s">
        <v>65</v>
      </c>
      <c r="B403" s="127" t="str">
        <f>"Gemeinde"&amp;_xlfn.XLOOKUP(A403,Auswahlliste!E:E,Auswahlliste!D:D,FALSE,FALSE)</f>
        <v>Gemeinde46</v>
      </c>
      <c r="C403" s="129" t="s">
        <v>390</v>
      </c>
      <c r="D403" s="127" t="s">
        <v>391</v>
      </c>
      <c r="E403" s="126">
        <v>0.6</v>
      </c>
    </row>
    <row r="404" spans="1:5">
      <c r="A404" t="s">
        <v>65</v>
      </c>
      <c r="B404" s="127" t="str">
        <f>"Gemeinde"&amp;_xlfn.XLOOKUP(A404,Auswahlliste!E:E,Auswahlliste!D:D,FALSE,FALSE)</f>
        <v>Gemeinde46</v>
      </c>
      <c r="C404" s="129" t="s">
        <v>392</v>
      </c>
      <c r="D404" s="127" t="s">
        <v>371</v>
      </c>
      <c r="E404" s="126">
        <v>0.6</v>
      </c>
    </row>
    <row r="405" spans="1:5">
      <c r="A405" t="s">
        <v>65</v>
      </c>
      <c r="B405" s="127" t="str">
        <f>"Gemeinde"&amp;_xlfn.XLOOKUP(A405,Auswahlliste!E:E,Auswahlliste!D:D,FALSE,FALSE)</f>
        <v>Gemeinde46</v>
      </c>
      <c r="C405" s="129" t="s">
        <v>393</v>
      </c>
      <c r="D405" s="127" t="s">
        <v>344</v>
      </c>
      <c r="E405" s="126">
        <v>0.45</v>
      </c>
    </row>
    <row r="406" spans="1:5">
      <c r="A406" t="s">
        <v>65</v>
      </c>
      <c r="B406" s="127" t="str">
        <f>"Gemeinde"&amp;_xlfn.XLOOKUP(A406,Auswahlliste!E:E,Auswahlliste!D:D,FALSE,FALSE)</f>
        <v>Gemeinde46</v>
      </c>
      <c r="C406" s="129" t="s">
        <v>308</v>
      </c>
      <c r="D406" s="127" t="s">
        <v>309</v>
      </c>
      <c r="E406" s="126">
        <v>0.1</v>
      </c>
    </row>
    <row r="407" spans="1:5">
      <c r="A407" t="s">
        <v>65</v>
      </c>
      <c r="B407" s="127" t="str">
        <f>"Gemeinde"&amp;_xlfn.XLOOKUP(A407,Auswahlliste!E:E,Auswahlliste!D:D,FALSE,FALSE)</f>
        <v>Gemeinde46</v>
      </c>
      <c r="C407" s="129" t="s">
        <v>394</v>
      </c>
      <c r="D407" s="127" t="s">
        <v>395</v>
      </c>
      <c r="E407" s="126">
        <v>0.3</v>
      </c>
    </row>
    <row r="408" spans="1:5">
      <c r="A408" t="s">
        <v>65</v>
      </c>
      <c r="B408" s="127" t="str">
        <f>"Gemeinde"&amp;_xlfn.XLOOKUP(A408,Auswahlliste!E:E,Auswahlliste!D:D,FALSE,FALSE)</f>
        <v>Gemeinde46</v>
      </c>
      <c r="C408" s="129" t="s">
        <v>15</v>
      </c>
      <c r="D408" s="127" t="s">
        <v>386</v>
      </c>
      <c r="E408" s="126">
        <v>0.6</v>
      </c>
    </row>
    <row r="409" spans="1:5">
      <c r="A409" t="s">
        <v>65</v>
      </c>
      <c r="B409" s="127" t="str">
        <f>"Gemeinde"&amp;_xlfn.XLOOKUP(A409,Auswahlliste!E:E,Auswahlliste!D:D,FALSE,FALSE)</f>
        <v>Gemeinde46</v>
      </c>
      <c r="C409" s="129" t="s">
        <v>396</v>
      </c>
      <c r="D409" s="127" t="s">
        <v>322</v>
      </c>
      <c r="E409" s="126">
        <v>0.9</v>
      </c>
    </row>
    <row r="410" spans="1:5">
      <c r="A410" t="s">
        <v>69</v>
      </c>
      <c r="B410" s="127" t="str">
        <f>"Gemeinde"&amp;_xlfn.XLOOKUP(A410,Auswahlliste!E:E,Auswahlliste!D:D,FALSE,FALSE)</f>
        <v>Gemeinde47</v>
      </c>
      <c r="C410" s="129" t="s">
        <v>439</v>
      </c>
      <c r="D410" s="126" t="s">
        <v>375</v>
      </c>
      <c r="E410" s="126">
        <v>0.3</v>
      </c>
    </row>
    <row r="411" spans="1:5">
      <c r="A411" t="s">
        <v>69</v>
      </c>
      <c r="B411" s="127" t="str">
        <f>"Gemeinde"&amp;_xlfn.XLOOKUP(A411,Auswahlliste!E:E,Auswahlliste!D:D,FALSE,FALSE)</f>
        <v>Gemeinde47</v>
      </c>
      <c r="C411" s="129" t="s">
        <v>435</v>
      </c>
      <c r="D411" s="126" t="s">
        <v>367</v>
      </c>
      <c r="E411" s="126">
        <v>0.3</v>
      </c>
    </row>
    <row r="412" spans="1:5">
      <c r="A412" t="s">
        <v>69</v>
      </c>
      <c r="B412" s="127" t="str">
        <f>"Gemeinde"&amp;_xlfn.XLOOKUP(A412,Auswahlliste!E:E,Auswahlliste!D:D,FALSE,FALSE)</f>
        <v>Gemeinde47</v>
      </c>
      <c r="C412" s="129" t="s">
        <v>403</v>
      </c>
      <c r="D412" s="126" t="s">
        <v>404</v>
      </c>
      <c r="E412" s="126">
        <v>0.3</v>
      </c>
    </row>
    <row r="413" spans="1:5">
      <c r="A413" t="s">
        <v>69</v>
      </c>
      <c r="B413" s="127" t="str">
        <f>"Gemeinde"&amp;_xlfn.XLOOKUP(A413,Auswahlliste!E:E,Auswahlliste!D:D,FALSE,FALSE)</f>
        <v>Gemeinde47</v>
      </c>
      <c r="C413" s="129" t="s">
        <v>189</v>
      </c>
      <c r="D413" s="126" t="s">
        <v>326</v>
      </c>
      <c r="E413" s="126">
        <v>0.4</v>
      </c>
    </row>
    <row r="414" spans="1:5">
      <c r="A414" t="s">
        <v>69</v>
      </c>
      <c r="B414" s="127" t="str">
        <f>"Gemeinde"&amp;_xlfn.XLOOKUP(A414,Auswahlliste!E:E,Auswahlliste!D:D,FALSE,FALSE)</f>
        <v>Gemeinde47</v>
      </c>
      <c r="C414" s="129" t="s">
        <v>192</v>
      </c>
      <c r="D414" s="126" t="s">
        <v>332</v>
      </c>
      <c r="E414" s="126">
        <v>0.4</v>
      </c>
    </row>
    <row r="415" spans="1:5">
      <c r="A415" t="s">
        <v>69</v>
      </c>
      <c r="B415" s="127" t="str">
        <f>"Gemeinde"&amp;_xlfn.XLOOKUP(A415,Auswahlliste!E:E,Auswahlliste!D:D,FALSE,FALSE)</f>
        <v>Gemeinde47</v>
      </c>
      <c r="C415" s="133" t="s">
        <v>193</v>
      </c>
      <c r="D415" s="134" t="s">
        <v>334</v>
      </c>
      <c r="E415" s="134">
        <v>0.65</v>
      </c>
    </row>
    <row r="416" spans="1:5">
      <c r="A416" t="s">
        <v>69</v>
      </c>
      <c r="B416" s="127" t="str">
        <f>"Gemeinde"&amp;_xlfn.XLOOKUP(A416,Auswahlliste!E:E,Auswahlliste!D:D,FALSE,FALSE)</f>
        <v>Gemeinde47</v>
      </c>
      <c r="C416" s="133" t="s">
        <v>195</v>
      </c>
      <c r="D416" s="134" t="s">
        <v>423</v>
      </c>
      <c r="E416" s="136">
        <v>0.65</v>
      </c>
    </row>
    <row r="417" spans="1:5">
      <c r="A417" t="s">
        <v>69</v>
      </c>
      <c r="B417" s="127" t="str">
        <f>"Gemeinde"&amp;_xlfn.XLOOKUP(A417,Auswahlliste!E:E,Auswahlliste!D:D,FALSE,FALSE)</f>
        <v>Gemeinde47</v>
      </c>
      <c r="C417" s="129" t="s">
        <v>550</v>
      </c>
      <c r="D417" s="126" t="s">
        <v>382</v>
      </c>
      <c r="E417" s="126">
        <v>0.65</v>
      </c>
    </row>
    <row r="418" spans="1:5">
      <c r="A418" t="s">
        <v>69</v>
      </c>
      <c r="B418" s="127" t="str">
        <f>"Gemeinde"&amp;_xlfn.XLOOKUP(A418,Auswahlliste!E:E,Auswahlliste!D:D,FALSE,FALSE)</f>
        <v>Gemeinde47</v>
      </c>
      <c r="C418" s="129" t="s">
        <v>9</v>
      </c>
      <c r="D418" s="126" t="s">
        <v>383</v>
      </c>
      <c r="E418" s="126">
        <v>0.7</v>
      </c>
    </row>
    <row r="419" spans="1:5">
      <c r="A419" t="s">
        <v>69</v>
      </c>
      <c r="B419" s="127" t="str">
        <f>"Gemeinde"&amp;_xlfn.XLOOKUP(A419,Auswahlliste!E:E,Auswahlliste!D:D,FALSE,FALSE)</f>
        <v>Gemeinde47</v>
      </c>
      <c r="C419" s="129" t="s">
        <v>197</v>
      </c>
      <c r="D419" s="126" t="s">
        <v>346</v>
      </c>
      <c r="E419" s="126">
        <v>0.65</v>
      </c>
    </row>
    <row r="420" spans="1:5">
      <c r="A420" t="s">
        <v>69</v>
      </c>
      <c r="B420" s="127" t="str">
        <f>"Gemeinde"&amp;_xlfn.XLOOKUP(A420,Auswahlliste!E:E,Auswahlliste!D:D,FALSE,FALSE)</f>
        <v>Gemeinde47</v>
      </c>
      <c r="C420" s="129" t="s">
        <v>13</v>
      </c>
      <c r="D420" s="126" t="s">
        <v>432</v>
      </c>
      <c r="E420" s="126">
        <v>0.4</v>
      </c>
    </row>
    <row r="421" spans="1:5">
      <c r="A421" t="s">
        <v>69</v>
      </c>
      <c r="B421" s="127" t="str">
        <f>"Gemeinde"&amp;_xlfn.XLOOKUP(A421,Auswahlliste!E:E,Auswahlliste!D:D,FALSE,FALSE)</f>
        <v>Gemeinde47</v>
      </c>
      <c r="C421" s="129" t="s">
        <v>14</v>
      </c>
      <c r="D421" s="126" t="s">
        <v>499</v>
      </c>
      <c r="E421" s="126">
        <v>0.45</v>
      </c>
    </row>
    <row r="422" spans="1:5">
      <c r="A422" t="s">
        <v>69</v>
      </c>
      <c r="B422" s="127" t="str">
        <f>"Gemeinde"&amp;_xlfn.XLOOKUP(A422,Auswahlliste!E:E,Auswahlliste!D:D,FALSE,FALSE)</f>
        <v>Gemeinde47</v>
      </c>
      <c r="C422" s="129" t="s">
        <v>15</v>
      </c>
      <c r="D422" s="126" t="s">
        <v>449</v>
      </c>
      <c r="E422" s="126">
        <v>0.45</v>
      </c>
    </row>
    <row r="423" spans="1:5">
      <c r="A423" t="s">
        <v>69</v>
      </c>
      <c r="B423" s="127" t="str">
        <f>"Gemeinde"&amp;_xlfn.XLOOKUP(A423,Auswahlliste!E:E,Auswahlliste!D:D,FALSE,FALSE)</f>
        <v>Gemeinde47</v>
      </c>
      <c r="C423" s="129" t="s">
        <v>551</v>
      </c>
      <c r="D423" s="126" t="s">
        <v>426</v>
      </c>
      <c r="E423" s="126">
        <v>0.4</v>
      </c>
    </row>
    <row r="424" spans="1:5">
      <c r="A424" t="s">
        <v>69</v>
      </c>
      <c r="B424" s="127" t="str">
        <f>"Gemeinde"&amp;_xlfn.XLOOKUP(A424,Auswahlliste!E:E,Auswahlliste!D:D,FALSE,FALSE)</f>
        <v>Gemeinde47</v>
      </c>
      <c r="C424" s="129" t="s">
        <v>394</v>
      </c>
      <c r="D424" s="126" t="s">
        <v>481</v>
      </c>
      <c r="E424" s="126">
        <v>0.3</v>
      </c>
    </row>
    <row r="425" spans="1:5">
      <c r="A425" t="s">
        <v>69</v>
      </c>
      <c r="B425" s="127" t="str">
        <f>"Gemeinde"&amp;_xlfn.XLOOKUP(A425,Auswahlliste!E:E,Auswahlliste!D:D,FALSE,FALSE)</f>
        <v>Gemeinde47</v>
      </c>
      <c r="C425" s="129" t="s">
        <v>308</v>
      </c>
      <c r="D425" s="126" t="s">
        <v>309</v>
      </c>
      <c r="E425" s="126">
        <v>0.1</v>
      </c>
    </row>
    <row r="426" spans="1:5">
      <c r="A426" t="s">
        <v>69</v>
      </c>
      <c r="B426" s="127" t="str">
        <f>"Gemeinde"&amp;_xlfn.XLOOKUP(A426,Auswahlliste!E:E,Auswahlliste!D:D,FALSE,FALSE)</f>
        <v>Gemeinde47</v>
      </c>
      <c r="C426" s="129" t="s">
        <v>396</v>
      </c>
      <c r="D426" s="126" t="s">
        <v>322</v>
      </c>
      <c r="E426" s="126">
        <v>0.8</v>
      </c>
    </row>
    <row r="427" spans="1:5">
      <c r="A427" t="s">
        <v>610</v>
      </c>
      <c r="B427" s="127" t="s">
        <v>709</v>
      </c>
      <c r="C427" s="129" t="s">
        <v>402</v>
      </c>
      <c r="D427" s="126" t="s">
        <v>368</v>
      </c>
      <c r="E427" s="126">
        <v>0.25</v>
      </c>
    </row>
    <row r="428" spans="1:5">
      <c r="A428" t="s">
        <v>610</v>
      </c>
      <c r="B428" s="127" t="str">
        <f>"Gemeinde"&amp;_xlfn.XLOOKUP(A428,Auswahlliste!E:E,Auswahlliste!D:D,FALSE,FALSE)</f>
        <v>Gemeinde49</v>
      </c>
      <c r="C428" s="133" t="s">
        <v>403</v>
      </c>
      <c r="D428" s="134" t="s">
        <v>404</v>
      </c>
      <c r="E428" s="136">
        <v>0.35</v>
      </c>
    </row>
    <row r="429" spans="1:5">
      <c r="A429" t="s">
        <v>610</v>
      </c>
      <c r="B429" s="127" t="str">
        <f>"Gemeinde"&amp;_xlfn.XLOOKUP(A429,Auswahlliste!E:E,Auswahlliste!D:D,FALSE,FALSE)</f>
        <v>Gemeinde49</v>
      </c>
      <c r="C429" s="129" t="s">
        <v>547</v>
      </c>
      <c r="D429" s="135" t="s">
        <v>537</v>
      </c>
      <c r="E429" s="136">
        <v>0.35</v>
      </c>
    </row>
    <row r="430" spans="1:5">
      <c r="A430" t="s">
        <v>610</v>
      </c>
      <c r="B430" s="127" t="str">
        <f>"Gemeinde"&amp;_xlfn.XLOOKUP(A430,Auswahlliste!E:E,Auswahlliste!D:D,FALSE,FALSE)</f>
        <v>Gemeinde49</v>
      </c>
      <c r="C430" s="129" t="s">
        <v>189</v>
      </c>
      <c r="D430" s="135" t="s">
        <v>326</v>
      </c>
      <c r="E430" s="136">
        <v>0.35</v>
      </c>
    </row>
    <row r="431" spans="1:5">
      <c r="A431" t="s">
        <v>610</v>
      </c>
      <c r="B431" s="127" t="str">
        <f>"Gemeinde"&amp;_xlfn.XLOOKUP(A431,Auswahlliste!E:E,Auswahlliste!D:D,FALSE,FALSE)</f>
        <v>Gemeinde49</v>
      </c>
      <c r="C431" s="129" t="s">
        <v>190</v>
      </c>
      <c r="D431" s="135" t="s">
        <v>355</v>
      </c>
      <c r="E431" s="136">
        <v>0.35</v>
      </c>
    </row>
    <row r="432" spans="1:5">
      <c r="A432" t="s">
        <v>610</v>
      </c>
      <c r="B432" s="127" t="str">
        <f>"Gemeinde"&amp;_xlfn.XLOOKUP(A432,Auswahlliste!E:E,Auswahlliste!D:D,FALSE,FALSE)</f>
        <v>Gemeinde49</v>
      </c>
      <c r="C432" s="129" t="s">
        <v>192</v>
      </c>
      <c r="D432" s="135" t="s">
        <v>332</v>
      </c>
      <c r="E432" s="136">
        <v>0.4</v>
      </c>
    </row>
    <row r="433" spans="1:5">
      <c r="A433" t="s">
        <v>610</v>
      </c>
      <c r="B433" s="127" t="str">
        <f>"Gemeinde"&amp;_xlfn.XLOOKUP(A433,Auswahlliste!E:E,Auswahlliste!D:D,FALSE,FALSE)</f>
        <v>Gemeinde49</v>
      </c>
      <c r="C433" s="129" t="s">
        <v>193</v>
      </c>
      <c r="D433" s="135" t="s">
        <v>334</v>
      </c>
      <c r="E433" s="136">
        <v>0.45</v>
      </c>
    </row>
    <row r="434" spans="1:5">
      <c r="A434" t="s">
        <v>610</v>
      </c>
      <c r="B434" s="127" t="str">
        <f>"Gemeinde"&amp;_xlfn.XLOOKUP(A434,Auswahlliste!E:E,Auswahlliste!D:D,FALSE,FALSE)</f>
        <v>Gemeinde49</v>
      </c>
      <c r="C434" s="129" t="s">
        <v>194</v>
      </c>
      <c r="D434" s="135" t="s">
        <v>361</v>
      </c>
      <c r="E434" s="136">
        <v>0.45</v>
      </c>
    </row>
    <row r="435" spans="1:5">
      <c r="A435" t="s">
        <v>610</v>
      </c>
      <c r="B435" s="127" t="str">
        <f>"Gemeinde"&amp;_xlfn.XLOOKUP(A435,Auswahlliste!E:E,Auswahlliste!D:D,FALSE,FALSE)</f>
        <v>Gemeinde49</v>
      </c>
      <c r="C435" s="129" t="s">
        <v>765</v>
      </c>
      <c r="D435" s="135" t="s">
        <v>498</v>
      </c>
      <c r="E435" s="136">
        <v>0.5</v>
      </c>
    </row>
    <row r="436" spans="1:5">
      <c r="A436" t="s">
        <v>610</v>
      </c>
      <c r="B436" s="127" t="str">
        <f>"Gemeinde"&amp;_xlfn.XLOOKUP(A436,Auswahlliste!E:E,Auswahlliste!D:D,FALSE,FALSE)</f>
        <v>Gemeinde49</v>
      </c>
      <c r="C436" s="129" t="s">
        <v>767</v>
      </c>
      <c r="D436" s="135" t="s">
        <v>429</v>
      </c>
      <c r="E436" s="136">
        <v>0.5</v>
      </c>
    </row>
    <row r="437" spans="1:5">
      <c r="A437" t="s">
        <v>610</v>
      </c>
      <c r="B437" s="127" t="str">
        <f>"Gemeinde"&amp;_xlfn.XLOOKUP(A437,Auswahlliste!E:E,Auswahlliste!D:D,FALSE,FALSE)</f>
        <v>Gemeinde49</v>
      </c>
      <c r="C437" s="129" t="s">
        <v>340</v>
      </c>
      <c r="D437" s="135" t="s">
        <v>341</v>
      </c>
      <c r="E437" s="136">
        <v>0.45</v>
      </c>
    </row>
    <row r="438" spans="1:5">
      <c r="A438" t="s">
        <v>610</v>
      </c>
      <c r="B438" s="127" t="str">
        <f>"Gemeinde"&amp;_xlfn.XLOOKUP(A438,Auswahlliste!E:E,Auswahlliste!D:D,FALSE,FALSE)</f>
        <v>Gemeinde49</v>
      </c>
      <c r="C438" s="129" t="s">
        <v>548</v>
      </c>
      <c r="D438" s="135" t="s">
        <v>434</v>
      </c>
      <c r="E438" s="136"/>
    </row>
    <row r="439" spans="1:5">
      <c r="A439" t="s">
        <v>610</v>
      </c>
      <c r="B439" s="127" t="str">
        <f>"Gemeinde"&amp;_xlfn.XLOOKUP(A439,Auswahlliste!E:E,Auswahlliste!D:D,FALSE,FALSE)</f>
        <v>Gemeinde49</v>
      </c>
      <c r="C439" s="133" t="s">
        <v>538</v>
      </c>
      <c r="D439" s="136" t="s">
        <v>432</v>
      </c>
      <c r="E439" s="136">
        <v>0.45</v>
      </c>
    </row>
    <row r="440" spans="1:5">
      <c r="A440" t="s">
        <v>610</v>
      </c>
      <c r="B440" s="127" t="str">
        <f>"Gemeinde"&amp;_xlfn.XLOOKUP(A440,Auswahlliste!E:E,Auswahlliste!D:D,FALSE,FALSE)</f>
        <v>Gemeinde49</v>
      </c>
      <c r="C440" s="129" t="s">
        <v>197</v>
      </c>
      <c r="D440" s="126" t="s">
        <v>346</v>
      </c>
      <c r="E440" s="126">
        <v>0.45</v>
      </c>
    </row>
    <row r="441" spans="1:5">
      <c r="A441" t="s">
        <v>610</v>
      </c>
      <c r="B441" s="127" t="str">
        <f>"Gemeinde"&amp;_xlfn.XLOOKUP(A441,Auswahlliste!E:E,Auswahlliste!D:D,FALSE,FALSE)</f>
        <v>Gemeinde49</v>
      </c>
      <c r="C441" s="129" t="s">
        <v>198</v>
      </c>
      <c r="D441" s="126" t="s">
        <v>314</v>
      </c>
      <c r="E441" s="126">
        <v>0.55000000000000004</v>
      </c>
    </row>
    <row r="442" spans="1:5">
      <c r="A442" t="s">
        <v>610</v>
      </c>
      <c r="B442" s="127" t="str">
        <f>"Gemeinde"&amp;_xlfn.XLOOKUP(A442,Auswahlliste!E:E,Auswahlliste!D:D,FALSE,FALSE)</f>
        <v>Gemeinde49</v>
      </c>
      <c r="C442" s="129" t="s">
        <v>199</v>
      </c>
      <c r="D442" s="126" t="s">
        <v>384</v>
      </c>
      <c r="E442" s="126">
        <v>0.6</v>
      </c>
    </row>
    <row r="443" spans="1:5">
      <c r="A443" t="s">
        <v>610</v>
      </c>
      <c r="B443" s="127" t="str">
        <f>"Gemeinde"&amp;_xlfn.XLOOKUP(A443,Auswahlliste!E:E,Auswahlliste!D:D,FALSE,FALSE)</f>
        <v>Gemeinde49</v>
      </c>
      <c r="C443" s="129" t="s">
        <v>315</v>
      </c>
      <c r="D443" s="126" t="s">
        <v>457</v>
      </c>
      <c r="E443" s="126">
        <v>0.3</v>
      </c>
    </row>
    <row r="444" spans="1:5">
      <c r="A444" t="s">
        <v>610</v>
      </c>
      <c r="B444" s="127" t="str">
        <f>"Gemeinde"&amp;_xlfn.XLOOKUP(A444,Auswahlliste!E:E,Auswahlliste!D:D,FALSE,FALSE)</f>
        <v>Gemeinde49</v>
      </c>
      <c r="C444" s="129" t="s">
        <v>342</v>
      </c>
      <c r="D444" s="126" t="s">
        <v>426</v>
      </c>
      <c r="E444" s="126">
        <v>0.25</v>
      </c>
    </row>
    <row r="445" spans="1:5">
      <c r="A445" t="s">
        <v>610</v>
      </c>
      <c r="B445" s="127" t="str">
        <f>"Gemeinde"&amp;_xlfn.XLOOKUP(A445,Auswahlliste!E:E,Auswahlliste!D:D,FALSE,FALSE)</f>
        <v>Gemeinde49</v>
      </c>
      <c r="C445" s="129" t="s">
        <v>539</v>
      </c>
      <c r="D445" s="126" t="s">
        <v>540</v>
      </c>
      <c r="E445" s="126">
        <v>0.2</v>
      </c>
    </row>
    <row r="446" spans="1:5">
      <c r="A446" t="s">
        <v>610</v>
      </c>
      <c r="B446" s="127" t="str">
        <f>"Gemeinde"&amp;_xlfn.XLOOKUP(A446,Auswahlliste!E:E,Auswahlliste!D:D,FALSE,FALSE)</f>
        <v>Gemeinde49</v>
      </c>
      <c r="C446" s="129" t="s">
        <v>541</v>
      </c>
      <c r="D446" s="126" t="s">
        <v>542</v>
      </c>
      <c r="E446" s="126">
        <v>0.15</v>
      </c>
    </row>
    <row r="447" spans="1:5">
      <c r="A447" t="s">
        <v>610</v>
      </c>
      <c r="B447" s="127" t="str">
        <f>"Gemeinde"&amp;_xlfn.XLOOKUP(A447,Auswahlliste!E:E,Auswahlliste!D:D,FALSE,FALSE)</f>
        <v>Gemeinde49</v>
      </c>
      <c r="C447" s="129" t="s">
        <v>305</v>
      </c>
      <c r="D447" s="126" t="s">
        <v>306</v>
      </c>
      <c r="E447" s="126">
        <v>0.1</v>
      </c>
    </row>
    <row r="448" spans="1:5">
      <c r="A448" t="s">
        <v>610</v>
      </c>
      <c r="B448" s="127" t="str">
        <f>"Gemeinde"&amp;_xlfn.XLOOKUP(A448,Auswahlliste!E:E,Auswahlliste!D:D,FALSE,FALSE)</f>
        <v>Gemeinde49</v>
      </c>
      <c r="C448" s="129" t="s">
        <v>544</v>
      </c>
      <c r="D448" s="126" t="s">
        <v>306</v>
      </c>
      <c r="E448" s="126">
        <v>0.35</v>
      </c>
    </row>
    <row r="449" spans="1:5">
      <c r="A449" t="s">
        <v>610</v>
      </c>
      <c r="B449" s="127" t="str">
        <f>"Gemeinde"&amp;_xlfn.XLOOKUP(A449,Auswahlliste!E:E,Auswahlliste!D:D,FALSE,FALSE)</f>
        <v>Gemeinde49</v>
      </c>
      <c r="C449" s="129" t="s">
        <v>327</v>
      </c>
      <c r="D449" s="126" t="s">
        <v>543</v>
      </c>
      <c r="E449" s="126">
        <v>0.05</v>
      </c>
    </row>
    <row r="450" spans="1:5">
      <c r="A450" t="s">
        <v>610</v>
      </c>
      <c r="B450" s="127" t="str">
        <f>"Gemeinde"&amp;_xlfn.XLOOKUP(A450,Auswahlliste!E:E,Auswahlliste!D:D,FALSE,FALSE)</f>
        <v>Gemeinde49</v>
      </c>
      <c r="C450" s="129" t="s">
        <v>394</v>
      </c>
      <c r="D450" s="126" t="s">
        <v>477</v>
      </c>
      <c r="E450" s="126">
        <v>0.1</v>
      </c>
    </row>
    <row r="451" spans="1:5">
      <c r="A451" t="s">
        <v>610</v>
      </c>
      <c r="B451" s="127" t="str">
        <f>"Gemeinde"&amp;_xlfn.XLOOKUP(A451,Auswahlliste!E:E,Auswahlliste!D:D,FALSE,FALSE)</f>
        <v>Gemeinde49</v>
      </c>
      <c r="C451" s="129" t="s">
        <v>545</v>
      </c>
      <c r="D451" s="126" t="s">
        <v>445</v>
      </c>
      <c r="E451" s="126">
        <v>0.8</v>
      </c>
    </row>
    <row r="452" spans="1:5">
      <c r="A452" t="s">
        <v>610</v>
      </c>
      <c r="B452" s="127" t="str">
        <f>"Gemeinde"&amp;_xlfn.XLOOKUP(A452,Auswahlliste!E:E,Auswahlliste!D:D,FALSE,FALSE)</f>
        <v>Gemeinde49</v>
      </c>
      <c r="C452" s="129" t="s">
        <v>546</v>
      </c>
      <c r="D452" s="126" t="s">
        <v>445</v>
      </c>
      <c r="E452" s="126">
        <v>0.5</v>
      </c>
    </row>
    <row r="453" spans="1:5">
      <c r="A453" t="s">
        <v>611</v>
      </c>
      <c r="B453" s="127" t="str">
        <f>"Gemeinde"&amp;_xlfn.XLOOKUP(A453,Auswahlliste!E:E,Auswahlliste!D:D,FALSE,FALSE)</f>
        <v>Gemeinde50</v>
      </c>
      <c r="C453" s="133" t="s">
        <v>403</v>
      </c>
      <c r="D453" s="136" t="s">
        <v>404</v>
      </c>
      <c r="E453" s="136">
        <v>0.4</v>
      </c>
    </row>
    <row r="454" spans="1:5">
      <c r="A454" t="s">
        <v>611</v>
      </c>
      <c r="B454" s="127" t="str">
        <f>"Gemeinde"&amp;_xlfn.XLOOKUP(A454,Auswahlliste!E:E,Auswahlliste!D:D,FALSE,FALSE)</f>
        <v>Gemeinde50</v>
      </c>
      <c r="C454" s="129" t="s">
        <v>547</v>
      </c>
      <c r="D454" s="126" t="s">
        <v>537</v>
      </c>
      <c r="E454" s="126">
        <v>0.4</v>
      </c>
    </row>
    <row r="455" spans="1:5">
      <c r="A455" t="s">
        <v>611</v>
      </c>
      <c r="B455" s="127" t="str">
        <f>"Gemeinde"&amp;_xlfn.XLOOKUP(A455,Auswahlliste!E:E,Auswahlliste!D:D,FALSE,FALSE)</f>
        <v>Gemeinde50</v>
      </c>
      <c r="C455" s="129" t="s">
        <v>189</v>
      </c>
      <c r="D455" s="126" t="s">
        <v>326</v>
      </c>
      <c r="E455" s="126">
        <v>0.37</v>
      </c>
    </row>
    <row r="456" spans="1:5">
      <c r="A456" t="s">
        <v>611</v>
      </c>
      <c r="B456" s="127" t="str">
        <f>"Gemeinde"&amp;_xlfn.XLOOKUP(A456,Auswahlliste!E:E,Auswahlliste!D:D,FALSE,FALSE)</f>
        <v>Gemeinde50</v>
      </c>
      <c r="C456" s="129" t="s">
        <v>190</v>
      </c>
      <c r="D456" s="126" t="s">
        <v>355</v>
      </c>
      <c r="E456" s="126">
        <v>0.45</v>
      </c>
    </row>
    <row r="457" spans="1:5">
      <c r="A457" t="s">
        <v>611</v>
      </c>
      <c r="B457" s="127" t="str">
        <f>"Gemeinde"&amp;_xlfn.XLOOKUP(A457,Auswahlliste!E:E,Auswahlliste!D:D,FALSE,FALSE)</f>
        <v>Gemeinde50</v>
      </c>
      <c r="C457" s="129" t="s">
        <v>192</v>
      </c>
      <c r="D457" s="126" t="s">
        <v>332</v>
      </c>
      <c r="E457" s="126">
        <v>0.35</v>
      </c>
    </row>
    <row r="458" spans="1:5">
      <c r="A458" t="s">
        <v>611</v>
      </c>
      <c r="B458" s="127" t="str">
        <f>"Gemeinde"&amp;_xlfn.XLOOKUP(A458,Auswahlliste!E:E,Auswahlliste!D:D,FALSE,FALSE)</f>
        <v>Gemeinde50</v>
      </c>
      <c r="C458" s="129" t="s">
        <v>193</v>
      </c>
      <c r="D458" s="126" t="s">
        <v>334</v>
      </c>
      <c r="E458" s="126">
        <v>0.5</v>
      </c>
    </row>
    <row r="459" spans="1:5">
      <c r="A459" t="s">
        <v>611</v>
      </c>
      <c r="B459" s="127" t="str">
        <f>"Gemeinde"&amp;_xlfn.XLOOKUP(A459,Auswahlliste!E:E,Auswahlliste!D:D,FALSE,FALSE)</f>
        <v>Gemeinde50</v>
      </c>
      <c r="C459" s="129" t="s">
        <v>194</v>
      </c>
      <c r="D459" s="126" t="s">
        <v>361</v>
      </c>
      <c r="E459" s="126">
        <v>0.55000000000000004</v>
      </c>
    </row>
    <row r="460" spans="1:5">
      <c r="A460" t="s">
        <v>611</v>
      </c>
      <c r="B460" s="127" t="str">
        <f>"Gemeinde"&amp;_xlfn.XLOOKUP(A460,Auswahlliste!E:E,Auswahlliste!D:D,FALSE,FALSE)</f>
        <v>Gemeinde50</v>
      </c>
      <c r="C460" s="129" t="s">
        <v>765</v>
      </c>
      <c r="D460" s="126" t="s">
        <v>498</v>
      </c>
      <c r="E460" s="126">
        <v>0.6</v>
      </c>
    </row>
    <row r="461" spans="1:5">
      <c r="A461" t="s">
        <v>611</v>
      </c>
      <c r="B461" s="127" t="str">
        <f>"Gemeinde"&amp;_xlfn.XLOOKUP(A461,Auswahlliste!E:E,Auswahlliste!D:D,FALSE,FALSE)</f>
        <v>Gemeinde50</v>
      </c>
      <c r="C461" s="129" t="s">
        <v>766</v>
      </c>
      <c r="D461" s="126" t="s">
        <v>429</v>
      </c>
      <c r="E461" s="126">
        <v>0.6</v>
      </c>
    </row>
    <row r="462" spans="1:5">
      <c r="A462" t="s">
        <v>611</v>
      </c>
      <c r="B462" s="127" t="str">
        <f>"Gemeinde"&amp;_xlfn.XLOOKUP(A462,Auswahlliste!E:E,Auswahlliste!D:D,FALSE,FALSE)</f>
        <v>Gemeinde50</v>
      </c>
      <c r="C462" s="129" t="s">
        <v>340</v>
      </c>
      <c r="D462" s="126" t="s">
        <v>341</v>
      </c>
      <c r="E462" s="126">
        <v>0.6</v>
      </c>
    </row>
    <row r="463" spans="1:5">
      <c r="A463" t="s">
        <v>611</v>
      </c>
      <c r="B463" s="127" t="str">
        <f>"Gemeinde"&amp;_xlfn.XLOOKUP(A463,Auswahlliste!E:E,Auswahlliste!D:D,FALSE,FALSE)</f>
        <v>Gemeinde50</v>
      </c>
      <c r="C463" s="129" t="s">
        <v>548</v>
      </c>
      <c r="D463" s="126" t="s">
        <v>434</v>
      </c>
      <c r="E463" s="126">
        <v>0.85</v>
      </c>
    </row>
    <row r="464" spans="1:5">
      <c r="A464" t="s">
        <v>611</v>
      </c>
      <c r="B464" s="127" t="str">
        <f>"Gemeinde"&amp;_xlfn.XLOOKUP(A464,Auswahlliste!E:E,Auswahlliste!D:D,FALSE,FALSE)</f>
        <v>Gemeinde50</v>
      </c>
      <c r="C464" s="129" t="s">
        <v>197</v>
      </c>
      <c r="D464" s="126" t="s">
        <v>346</v>
      </c>
      <c r="E464" s="126">
        <v>0.5</v>
      </c>
    </row>
    <row r="465" spans="1:5">
      <c r="A465" t="s">
        <v>611</v>
      </c>
      <c r="B465" s="127" t="str">
        <f>"Gemeinde"&amp;_xlfn.XLOOKUP(A465,Auswahlliste!E:E,Auswahlliste!D:D,FALSE,FALSE)</f>
        <v>Gemeinde50</v>
      </c>
      <c r="C465" s="133" t="s">
        <v>199</v>
      </c>
      <c r="D465" s="136" t="s">
        <v>384</v>
      </c>
      <c r="E465" s="136">
        <v>0.7</v>
      </c>
    </row>
    <row r="466" spans="1:5">
      <c r="A466" t="s">
        <v>611</v>
      </c>
      <c r="B466" s="127" t="str">
        <f>"Gemeinde"&amp;_xlfn.XLOOKUP(A466,Auswahlliste!E:E,Auswahlliste!D:D,FALSE,FALSE)</f>
        <v>Gemeinde50</v>
      </c>
      <c r="C466" s="129" t="s">
        <v>315</v>
      </c>
      <c r="D466" s="126" t="s">
        <v>457</v>
      </c>
      <c r="E466" s="126">
        <v>0.55000000000000004</v>
      </c>
    </row>
    <row r="467" spans="1:5">
      <c r="A467" t="s">
        <v>611</v>
      </c>
      <c r="B467" s="127" t="str">
        <f>"Gemeinde"&amp;_xlfn.XLOOKUP(A467,Auswahlliste!E:E,Auswahlliste!D:D,FALSE,FALSE)</f>
        <v>Gemeinde50</v>
      </c>
      <c r="C467" s="129" t="s">
        <v>342</v>
      </c>
      <c r="D467" s="126" t="s">
        <v>426</v>
      </c>
      <c r="E467" s="126">
        <v>0.2</v>
      </c>
    </row>
    <row r="468" spans="1:5">
      <c r="A468" t="s">
        <v>611</v>
      </c>
      <c r="B468" s="127" t="str">
        <f>"Gemeinde"&amp;_xlfn.XLOOKUP(A468,Auswahlliste!E:E,Auswahlliste!D:D,FALSE,FALSE)</f>
        <v>Gemeinde50</v>
      </c>
      <c r="C468" s="129" t="s">
        <v>539</v>
      </c>
      <c r="D468" s="126" t="s">
        <v>540</v>
      </c>
      <c r="E468" s="126">
        <v>0.05</v>
      </c>
    </row>
    <row r="469" spans="1:5">
      <c r="A469" t="s">
        <v>611</v>
      </c>
      <c r="B469" s="127" t="str">
        <f>"Gemeinde"&amp;_xlfn.XLOOKUP(A469,Auswahlliste!E:E,Auswahlliste!D:D,FALSE,FALSE)</f>
        <v>Gemeinde50</v>
      </c>
      <c r="C469" s="129" t="s">
        <v>541</v>
      </c>
      <c r="D469" s="126" t="s">
        <v>542</v>
      </c>
      <c r="E469" s="126">
        <v>0.05</v>
      </c>
    </row>
    <row r="470" spans="1:5">
      <c r="A470" t="s">
        <v>611</v>
      </c>
      <c r="B470" s="127" t="str">
        <f>"Gemeinde"&amp;_xlfn.XLOOKUP(A470,Auswahlliste!E:E,Auswahlliste!D:D,FALSE,FALSE)</f>
        <v>Gemeinde50</v>
      </c>
      <c r="C470" s="129" t="s">
        <v>394</v>
      </c>
      <c r="D470" s="126" t="s">
        <v>477</v>
      </c>
      <c r="E470" s="126">
        <v>0.05</v>
      </c>
    </row>
    <row r="471" spans="1:5">
      <c r="A471" t="s">
        <v>611</v>
      </c>
      <c r="B471" s="127" t="str">
        <f>"Gemeinde"&amp;_xlfn.XLOOKUP(A471,Auswahlliste!E:E,Auswahlliste!D:D,FALSE,FALSE)</f>
        <v>Gemeinde50</v>
      </c>
      <c r="C471" s="129" t="s">
        <v>549</v>
      </c>
      <c r="D471" s="126"/>
      <c r="E471" s="126">
        <v>0.2</v>
      </c>
    </row>
    <row r="472" spans="1:5">
      <c r="A472" t="s">
        <v>50</v>
      </c>
      <c r="B472" s="127" t="str">
        <f>"Gemeinde"&amp;_xlfn.XLOOKUP(A472,Auswahlliste!E:E,Auswahlliste!D:D,FALSE,FALSE)</f>
        <v>Gemeinde51</v>
      </c>
      <c r="C472" s="129" t="s">
        <v>452</v>
      </c>
      <c r="D472" s="126"/>
      <c r="E472" s="126">
        <v>0.1</v>
      </c>
    </row>
    <row r="473" spans="1:5">
      <c r="A473" t="s">
        <v>50</v>
      </c>
      <c r="B473" s="127" t="str">
        <f>"Gemeinde"&amp;_xlfn.XLOOKUP(A473,Auswahlliste!E:E,Auswahlliste!D:D,FALSE,FALSE)</f>
        <v>Gemeinde51</v>
      </c>
      <c r="C473" s="129" t="s">
        <v>439</v>
      </c>
      <c r="D473" s="126" t="s">
        <v>375</v>
      </c>
      <c r="E473" s="126">
        <v>0.1</v>
      </c>
    </row>
    <row r="474" spans="1:5">
      <c r="A474" t="s">
        <v>50</v>
      </c>
      <c r="B474" s="127" t="str">
        <f>"Gemeinde"&amp;_xlfn.XLOOKUP(A474,Auswahlliste!E:E,Auswahlliste!D:D,FALSE,FALSE)</f>
        <v>Gemeinde51</v>
      </c>
      <c r="C474" s="129" t="s">
        <v>435</v>
      </c>
      <c r="D474" s="126" t="s">
        <v>367</v>
      </c>
      <c r="E474" s="126">
        <v>0.1</v>
      </c>
    </row>
    <row r="475" spans="1:5">
      <c r="A475" t="s">
        <v>50</v>
      </c>
      <c r="B475" s="127" t="str">
        <f>"Gemeinde"&amp;_xlfn.XLOOKUP(A475,Auswahlliste!E:E,Auswahlliste!D:D,FALSE,FALSE)</f>
        <v>Gemeinde51</v>
      </c>
      <c r="C475" s="129" t="s">
        <v>189</v>
      </c>
      <c r="D475" s="126" t="s">
        <v>326</v>
      </c>
      <c r="E475" s="126">
        <v>0.1</v>
      </c>
    </row>
    <row r="476" spans="1:5">
      <c r="A476" t="s">
        <v>50</v>
      </c>
      <c r="B476" s="127" t="str">
        <f>"Gemeinde"&amp;_xlfn.XLOOKUP(A476,Auswahlliste!E:E,Auswahlliste!D:D,FALSE,FALSE)</f>
        <v>Gemeinde51</v>
      </c>
      <c r="C476" s="129" t="s">
        <v>529</v>
      </c>
      <c r="D476" s="126" t="s">
        <v>528</v>
      </c>
      <c r="E476" s="126">
        <v>0.1</v>
      </c>
    </row>
    <row r="477" spans="1:5">
      <c r="A477" t="s">
        <v>50</v>
      </c>
      <c r="B477" s="127" t="str">
        <f>"Gemeinde"&amp;_xlfn.XLOOKUP(A477,Auswahlliste!E:E,Auswahlliste!D:D,FALSE,FALSE)</f>
        <v>Gemeinde51</v>
      </c>
      <c r="C477" s="129" t="s">
        <v>525</v>
      </c>
      <c r="D477" s="126" t="s">
        <v>332</v>
      </c>
      <c r="E477" s="126">
        <v>0.1</v>
      </c>
    </row>
    <row r="478" spans="1:5">
      <c r="A478" t="s">
        <v>50</v>
      </c>
      <c r="B478" s="127" t="str">
        <f>"Gemeinde"&amp;_xlfn.XLOOKUP(A478,Auswahlliste!E:E,Auswahlliste!D:D,FALSE,FALSE)</f>
        <v>Gemeinde51</v>
      </c>
      <c r="C478" s="133" t="s">
        <v>461</v>
      </c>
      <c r="D478" s="136" t="s">
        <v>334</v>
      </c>
      <c r="E478" s="136">
        <v>0.1</v>
      </c>
    </row>
    <row r="479" spans="1:5">
      <c r="A479" t="s">
        <v>50</v>
      </c>
      <c r="B479" s="127" t="str">
        <f>"Gemeinde"&amp;_xlfn.XLOOKUP(A479,Auswahlliste!E:E,Auswahlliste!D:D,FALSE,FALSE)</f>
        <v>Gemeinde51</v>
      </c>
      <c r="C479" s="129" t="s">
        <v>530</v>
      </c>
      <c r="D479" s="126" t="s">
        <v>361</v>
      </c>
      <c r="E479" s="126">
        <v>0.1</v>
      </c>
    </row>
    <row r="480" spans="1:5">
      <c r="A480" t="s">
        <v>50</v>
      </c>
      <c r="B480" s="127" t="str">
        <f>"Gemeinde"&amp;_xlfn.XLOOKUP(A480,Auswahlliste!E:E,Auswahlliste!D:D,FALSE,FALSE)</f>
        <v>Gemeinde51</v>
      </c>
      <c r="C480" s="129" t="s">
        <v>197</v>
      </c>
      <c r="D480" s="126" t="s">
        <v>346</v>
      </c>
      <c r="E480" s="126">
        <v>0.1</v>
      </c>
    </row>
    <row r="481" spans="1:5">
      <c r="A481" t="s">
        <v>50</v>
      </c>
      <c r="B481" s="127" t="str">
        <f>"Gemeinde"&amp;_xlfn.XLOOKUP(A481,Auswahlliste!E:E,Auswahlliste!D:D,FALSE,FALSE)</f>
        <v>Gemeinde51</v>
      </c>
      <c r="C481" s="129" t="s">
        <v>526</v>
      </c>
      <c r="D481" s="126" t="s">
        <v>518</v>
      </c>
      <c r="E481" s="126">
        <v>0.1</v>
      </c>
    </row>
    <row r="482" spans="1:5">
      <c r="A482" t="s">
        <v>50</v>
      </c>
      <c r="B482" s="127" t="str">
        <f>"Gemeinde"&amp;_xlfn.XLOOKUP(A482,Auswahlliste!E:E,Auswahlliste!D:D,FALSE,FALSE)</f>
        <v>Gemeinde51</v>
      </c>
      <c r="C482" s="129" t="s">
        <v>527</v>
      </c>
      <c r="D482" s="126" t="s">
        <v>456</v>
      </c>
      <c r="E482" s="126">
        <v>0.1</v>
      </c>
    </row>
    <row r="483" spans="1:5">
      <c r="A483" t="s">
        <v>50</v>
      </c>
      <c r="B483" s="127" t="str">
        <f>"Gemeinde"&amp;_xlfn.XLOOKUP(A483,Auswahlliste!E:E,Auswahlliste!D:D,FALSE,FALSE)</f>
        <v>Gemeinde51</v>
      </c>
      <c r="C483" s="129" t="s">
        <v>15</v>
      </c>
      <c r="D483" s="126" t="s">
        <v>457</v>
      </c>
      <c r="E483" s="126">
        <v>0.1</v>
      </c>
    </row>
    <row r="484" spans="1:5">
      <c r="A484" t="s">
        <v>43</v>
      </c>
      <c r="B484" s="127" t="str">
        <f>"Gemeinde"&amp;_xlfn.XLOOKUP(A484,Auswahlliste!E:E,Auswahlliste!D:D,FALSE,FALSE)</f>
        <v>Gemeinde52</v>
      </c>
      <c r="C484" s="129" t="s">
        <v>402</v>
      </c>
      <c r="D484" s="126" t="s">
        <v>368</v>
      </c>
      <c r="E484" s="126">
        <v>0.1</v>
      </c>
    </row>
    <row r="485" spans="1:5">
      <c r="A485" t="s">
        <v>43</v>
      </c>
      <c r="B485" s="127" t="str">
        <f>"Gemeinde"&amp;_xlfn.XLOOKUP(A485,Auswahlliste!E:E,Auswahlliste!D:D,FALSE,FALSE)</f>
        <v>Gemeinde52</v>
      </c>
      <c r="C485" s="129" t="s">
        <v>435</v>
      </c>
      <c r="D485" s="126" t="s">
        <v>367</v>
      </c>
      <c r="E485" s="126">
        <v>0.1</v>
      </c>
    </row>
    <row r="486" spans="1:5">
      <c r="A486" t="s">
        <v>43</v>
      </c>
      <c r="B486" s="127" t="str">
        <f>"Gemeinde"&amp;_xlfn.XLOOKUP(A486,Auswahlliste!E:E,Auswahlliste!D:D,FALSE,FALSE)</f>
        <v>Gemeinde52</v>
      </c>
      <c r="C486" s="129" t="s">
        <v>189</v>
      </c>
      <c r="D486" s="126" t="s">
        <v>326</v>
      </c>
      <c r="E486" s="126">
        <v>0.1</v>
      </c>
    </row>
    <row r="487" spans="1:5">
      <c r="A487" t="s">
        <v>43</v>
      </c>
      <c r="B487" s="127" t="str">
        <f>"Gemeinde"&amp;_xlfn.XLOOKUP(A487,Auswahlliste!E:E,Auswahlliste!D:D,FALSE,FALSE)</f>
        <v>Gemeinde52</v>
      </c>
      <c r="C487" s="129" t="s">
        <v>190</v>
      </c>
      <c r="D487" s="126" t="s">
        <v>355</v>
      </c>
      <c r="E487" s="126">
        <v>0.1</v>
      </c>
    </row>
    <row r="488" spans="1:5">
      <c r="A488" t="s">
        <v>43</v>
      </c>
      <c r="B488" s="127" t="str">
        <f>"Gemeinde"&amp;_xlfn.XLOOKUP(A488,Auswahlliste!E:E,Auswahlliste!D:D,FALSE,FALSE)</f>
        <v>Gemeinde52</v>
      </c>
      <c r="C488" s="129" t="s">
        <v>198</v>
      </c>
      <c r="D488" s="126" t="s">
        <v>314</v>
      </c>
      <c r="E488" s="126">
        <v>0.15</v>
      </c>
    </row>
    <row r="489" spans="1:5">
      <c r="A489" t="s">
        <v>43</v>
      </c>
      <c r="B489" s="127" t="str">
        <f>"Gemeinde"&amp;_xlfn.XLOOKUP(A489,Auswahlliste!E:E,Auswahlliste!D:D,FALSE,FALSE)</f>
        <v>Gemeinde52</v>
      </c>
      <c r="C489" s="129" t="s">
        <v>473</v>
      </c>
      <c r="D489" s="126" t="s">
        <v>332</v>
      </c>
      <c r="E489" s="126">
        <v>0.15</v>
      </c>
    </row>
    <row r="490" spans="1:5">
      <c r="A490" t="s">
        <v>43</v>
      </c>
      <c r="B490" s="127" t="str">
        <f>"Gemeinde"&amp;_xlfn.XLOOKUP(A490,Auswahlliste!E:E,Auswahlliste!D:D,FALSE,FALSE)</f>
        <v>Gemeinde52</v>
      </c>
      <c r="C490" s="133" t="s">
        <v>474</v>
      </c>
      <c r="D490" s="136" t="s">
        <v>334</v>
      </c>
      <c r="E490" s="136">
        <v>0.15</v>
      </c>
    </row>
    <row r="491" spans="1:5">
      <c r="A491" t="s">
        <v>43</v>
      </c>
      <c r="B491" s="127" t="str">
        <f>"Gemeinde"&amp;_xlfn.XLOOKUP(A491,Auswahlliste!E:E,Auswahlliste!D:D,FALSE,FALSE)</f>
        <v>Gemeinde52</v>
      </c>
      <c r="C491" s="129" t="s">
        <v>768</v>
      </c>
      <c r="D491" s="126" t="s">
        <v>371</v>
      </c>
      <c r="E491" s="126">
        <v>0.15</v>
      </c>
    </row>
    <row r="492" spans="1:5">
      <c r="A492" t="s">
        <v>43</v>
      </c>
      <c r="B492" s="127" t="str">
        <f>"Gemeinde"&amp;_xlfn.XLOOKUP(A492,Auswahlliste!E:E,Auswahlliste!D:D,FALSE,FALSE)</f>
        <v>Gemeinde52</v>
      </c>
      <c r="C492" s="129" t="s">
        <v>465</v>
      </c>
      <c r="D492" s="126" t="s">
        <v>341</v>
      </c>
      <c r="E492" s="126">
        <v>0.15</v>
      </c>
    </row>
    <row r="493" spans="1:5">
      <c r="A493" t="s">
        <v>43</v>
      </c>
      <c r="B493" s="127" t="str">
        <f>"Gemeinde"&amp;_xlfn.XLOOKUP(A493,Auswahlliste!E:E,Auswahlliste!D:D,FALSE,FALSE)</f>
        <v>Gemeinde52</v>
      </c>
      <c r="C493" s="129" t="s">
        <v>15</v>
      </c>
      <c r="D493" s="126" t="s">
        <v>457</v>
      </c>
      <c r="E493" s="126">
        <v>0.15</v>
      </c>
    </row>
    <row r="494" spans="1:5">
      <c r="A494" t="s">
        <v>43</v>
      </c>
      <c r="B494" s="127" t="str">
        <f>"Gemeinde"&amp;_xlfn.XLOOKUP(A494,Auswahlliste!E:E,Auswahlliste!D:D,FALSE,FALSE)</f>
        <v>Gemeinde52</v>
      </c>
      <c r="C494" s="129" t="s">
        <v>394</v>
      </c>
      <c r="D494" s="126" t="s">
        <v>477</v>
      </c>
      <c r="E494" s="126">
        <v>0.15</v>
      </c>
    </row>
    <row r="495" spans="1:5">
      <c r="A495" t="s">
        <v>43</v>
      </c>
      <c r="B495" s="127" t="str">
        <f>"Gemeinde"&amp;_xlfn.XLOOKUP(A495,Auswahlliste!E:E,Auswahlliste!D:D,FALSE,FALSE)</f>
        <v>Gemeinde52</v>
      </c>
      <c r="C495" s="129" t="s">
        <v>478</v>
      </c>
      <c r="D495" s="126"/>
      <c r="E495" s="126">
        <v>0.15</v>
      </c>
    </row>
    <row r="496" spans="1:5">
      <c r="A496" s="265" t="s">
        <v>40</v>
      </c>
      <c r="B496" s="127" t="str">
        <f>"Gemeinde"&amp;_xlfn.XLOOKUP(A496,Auswahlliste!E:E,Auswahlliste!D:D,FALSE,FALSE)</f>
        <v>Gemeinde54</v>
      </c>
      <c r="C496" s="129" t="s">
        <v>637</v>
      </c>
      <c r="D496" s="126" t="s">
        <v>634</v>
      </c>
      <c r="E496" s="126">
        <v>0.1</v>
      </c>
    </row>
    <row r="497" spans="1:5">
      <c r="A497" s="265" t="s">
        <v>40</v>
      </c>
      <c r="B497" s="127" t="str">
        <f>"Gemeinde"&amp;_xlfn.XLOOKUP(A497,Auswahlliste!E:E,Auswahlliste!D:D,FALSE,FALSE)</f>
        <v>Gemeinde54</v>
      </c>
      <c r="C497" s="129" t="s">
        <v>636</v>
      </c>
      <c r="D497" s="126" t="s">
        <v>635</v>
      </c>
      <c r="E497" s="126">
        <v>0.1</v>
      </c>
    </row>
    <row r="498" spans="1:5">
      <c r="A498" s="265" t="s">
        <v>40</v>
      </c>
      <c r="B498" s="127" t="str">
        <f>"Gemeinde"&amp;_xlfn.XLOOKUP(A498,Auswahlliste!E:E,Auswahlliste!D:D,FALSE,FALSE)</f>
        <v>Gemeinde54</v>
      </c>
      <c r="C498" s="129" t="s">
        <v>189</v>
      </c>
      <c r="D498" s="126" t="s">
        <v>326</v>
      </c>
      <c r="E498" s="126">
        <v>0.1</v>
      </c>
    </row>
    <row r="499" spans="1:5">
      <c r="A499" s="265" t="s">
        <v>40</v>
      </c>
      <c r="B499" s="127" t="str">
        <f>"Gemeinde"&amp;_xlfn.XLOOKUP(A499,Auswahlliste!E:E,Auswahlliste!D:D,FALSE,FALSE)</f>
        <v>Gemeinde54</v>
      </c>
      <c r="C499" s="129" t="s">
        <v>190</v>
      </c>
      <c r="D499" s="126" t="s">
        <v>355</v>
      </c>
      <c r="E499" s="126">
        <v>0.1</v>
      </c>
    </row>
    <row r="500" spans="1:5">
      <c r="A500" s="265" t="s">
        <v>40</v>
      </c>
      <c r="B500" s="127" t="str">
        <f>"Gemeinde"&amp;_xlfn.XLOOKUP(A500,Auswahlliste!E:E,Auswahlliste!D:D,FALSE,FALSE)</f>
        <v>Gemeinde54</v>
      </c>
      <c r="C500" s="129" t="s">
        <v>192</v>
      </c>
      <c r="D500" s="126" t="s">
        <v>332</v>
      </c>
      <c r="E500" s="126">
        <v>0.15</v>
      </c>
    </row>
    <row r="501" spans="1:5">
      <c r="A501" s="265" t="s">
        <v>40</v>
      </c>
      <c r="B501" s="127" t="str">
        <f>"Gemeinde"&amp;_xlfn.XLOOKUP(A501,Auswahlliste!E:E,Auswahlliste!D:D,FALSE,FALSE)</f>
        <v>Gemeinde54</v>
      </c>
      <c r="C501" s="129" t="s">
        <v>193</v>
      </c>
      <c r="D501" s="126" t="s">
        <v>334</v>
      </c>
      <c r="E501" s="126">
        <v>0.15</v>
      </c>
    </row>
    <row r="502" spans="1:5">
      <c r="A502" s="265" t="s">
        <v>40</v>
      </c>
      <c r="B502" s="127" t="str">
        <f>"Gemeinde"&amp;_xlfn.XLOOKUP(A502,Auswahlliste!E:E,Auswahlliste!D:D,FALSE,FALSE)</f>
        <v>Gemeinde54</v>
      </c>
      <c r="C502" s="129" t="s">
        <v>15</v>
      </c>
      <c r="D502" s="126" t="s">
        <v>457</v>
      </c>
      <c r="E502" s="126">
        <v>0.15</v>
      </c>
    </row>
    <row r="503" spans="1:5">
      <c r="A503" t="s">
        <v>55</v>
      </c>
      <c r="B503" s="127" t="str">
        <f>"Gemeinde"&amp;_xlfn.XLOOKUP(A503,Auswahlliste!E:E,Auswahlliste!D:D,FALSE,FALSE)</f>
        <v>Gemeinde55</v>
      </c>
      <c r="C503" s="133" t="s">
        <v>689</v>
      </c>
      <c r="D503" s="136" t="s">
        <v>367</v>
      </c>
      <c r="E503" s="136">
        <v>0.15</v>
      </c>
    </row>
    <row r="504" spans="1:5">
      <c r="A504" t="s">
        <v>55</v>
      </c>
      <c r="B504" s="127" t="str">
        <f>"Gemeinde"&amp;_xlfn.XLOOKUP(A504,Auswahlliste!E:E,Auswahlliste!D:D,FALSE,FALSE)</f>
        <v>Gemeinde55</v>
      </c>
      <c r="C504" s="129" t="s">
        <v>690</v>
      </c>
      <c r="D504" s="126" t="s">
        <v>367</v>
      </c>
      <c r="E504" s="126">
        <v>0.3</v>
      </c>
    </row>
    <row r="505" spans="1:5">
      <c r="A505" t="s">
        <v>55</v>
      </c>
      <c r="B505" s="127" t="str">
        <f>"Gemeinde"&amp;_xlfn.XLOOKUP(A505,Auswahlliste!E:E,Auswahlliste!D:D,FALSE,FALSE)</f>
        <v>Gemeinde55</v>
      </c>
      <c r="C505" s="133" t="s">
        <v>691</v>
      </c>
      <c r="D505" s="136" t="s">
        <v>326</v>
      </c>
      <c r="E505" s="136">
        <v>0.25</v>
      </c>
    </row>
    <row r="506" spans="1:5">
      <c r="A506" t="s">
        <v>55</v>
      </c>
      <c r="B506" s="127" t="str">
        <f>"Gemeinde"&amp;_xlfn.XLOOKUP(A506,Auswahlliste!E:E,Auswahlliste!D:D,FALSE,FALSE)</f>
        <v>Gemeinde55</v>
      </c>
      <c r="C506" s="129" t="s">
        <v>692</v>
      </c>
      <c r="D506" s="126" t="s">
        <v>326</v>
      </c>
      <c r="E506" s="126">
        <v>0.4</v>
      </c>
    </row>
    <row r="507" spans="1:5">
      <c r="A507" t="s">
        <v>55</v>
      </c>
      <c r="B507" s="127" t="str">
        <f>"Gemeinde"&amp;_xlfn.XLOOKUP(A507,Auswahlliste!E:E,Auswahlliste!D:D,FALSE,FALSE)</f>
        <v>Gemeinde55</v>
      </c>
      <c r="C507" s="133" t="s">
        <v>693</v>
      </c>
      <c r="D507" s="136" t="s">
        <v>355</v>
      </c>
      <c r="E507" s="136">
        <v>0.25</v>
      </c>
    </row>
    <row r="508" spans="1:5">
      <c r="A508" t="s">
        <v>55</v>
      </c>
      <c r="B508" s="127" t="str">
        <f>"Gemeinde"&amp;_xlfn.XLOOKUP(A508,Auswahlliste!E:E,Auswahlliste!D:D,FALSE,FALSE)</f>
        <v>Gemeinde55</v>
      </c>
      <c r="C508" s="129" t="s">
        <v>694</v>
      </c>
      <c r="D508" s="126" t="s">
        <v>355</v>
      </c>
      <c r="E508" s="126">
        <v>0.4</v>
      </c>
    </row>
    <row r="509" spans="1:5">
      <c r="A509" t="s">
        <v>55</v>
      </c>
      <c r="B509" s="127" t="str">
        <f>"Gemeinde"&amp;_xlfn.XLOOKUP(A509,Auswahlliste!E:E,Auswahlliste!D:D,FALSE,FALSE)</f>
        <v>Gemeinde55</v>
      </c>
      <c r="C509" s="129" t="s">
        <v>695</v>
      </c>
      <c r="D509" s="126" t="s">
        <v>332</v>
      </c>
      <c r="E509" s="126">
        <v>0.25</v>
      </c>
    </row>
    <row r="510" spans="1:5">
      <c r="A510" t="s">
        <v>55</v>
      </c>
      <c r="B510" s="127" t="str">
        <f>"Gemeinde"&amp;_xlfn.XLOOKUP(A510,Auswahlliste!E:E,Auswahlliste!D:D,FALSE,FALSE)</f>
        <v>Gemeinde55</v>
      </c>
      <c r="C510" s="129" t="s">
        <v>696</v>
      </c>
      <c r="D510" s="126" t="s">
        <v>332</v>
      </c>
      <c r="E510" s="126">
        <v>0.4</v>
      </c>
    </row>
    <row r="511" spans="1:5">
      <c r="A511" t="s">
        <v>55</v>
      </c>
      <c r="B511" s="127" t="str">
        <f>"Gemeinde"&amp;_xlfn.XLOOKUP(A511,Auswahlliste!E:E,Auswahlliste!D:D,FALSE,FALSE)</f>
        <v>Gemeinde55</v>
      </c>
      <c r="C511" s="129" t="s">
        <v>697</v>
      </c>
      <c r="D511" s="126" t="s">
        <v>334</v>
      </c>
      <c r="E511" s="126">
        <v>0.25</v>
      </c>
    </row>
    <row r="512" spans="1:5">
      <c r="A512" t="s">
        <v>55</v>
      </c>
      <c r="B512" s="127" t="str">
        <f>"Gemeinde"&amp;_xlfn.XLOOKUP(A512,Auswahlliste!E:E,Auswahlliste!D:D,FALSE,FALSE)</f>
        <v>Gemeinde55</v>
      </c>
      <c r="C512" s="129" t="s">
        <v>698</v>
      </c>
      <c r="D512" s="126" t="s">
        <v>334</v>
      </c>
      <c r="E512" s="126">
        <v>0.4</v>
      </c>
    </row>
    <row r="513" spans="1:5">
      <c r="A513" t="s">
        <v>55</v>
      </c>
      <c r="B513" s="127" t="str">
        <f>"Gemeinde"&amp;_xlfn.XLOOKUP(A513,Auswahlliste!E:E,Auswahlliste!D:D,FALSE,FALSE)</f>
        <v>Gemeinde55</v>
      </c>
      <c r="C513" s="129" t="s">
        <v>699</v>
      </c>
      <c r="D513" s="126" t="s">
        <v>434</v>
      </c>
      <c r="E513" s="126">
        <v>0.25</v>
      </c>
    </row>
    <row r="514" spans="1:5">
      <c r="A514" t="s">
        <v>55</v>
      </c>
      <c r="B514" s="127" t="str">
        <f>"Gemeinde"&amp;_xlfn.XLOOKUP(A514,Auswahlliste!E:E,Auswahlliste!D:D,FALSE,FALSE)</f>
        <v>Gemeinde55</v>
      </c>
      <c r="C514" s="129" t="s">
        <v>700</v>
      </c>
      <c r="D514" s="126" t="s">
        <v>434</v>
      </c>
      <c r="E514" s="126">
        <v>0.4</v>
      </c>
    </row>
    <row r="515" spans="1:5">
      <c r="A515" t="s">
        <v>55</v>
      </c>
      <c r="B515" s="127" t="str">
        <f>"Gemeinde"&amp;_xlfn.XLOOKUP(A515,Auswahlliste!E:E,Auswahlliste!D:D,FALSE,FALSE)</f>
        <v>Gemeinde55</v>
      </c>
      <c r="C515" s="129" t="s">
        <v>701</v>
      </c>
      <c r="D515" s="126" t="s">
        <v>344</v>
      </c>
      <c r="E515" s="126">
        <v>0.25</v>
      </c>
    </row>
    <row r="516" spans="1:5">
      <c r="A516" t="s">
        <v>55</v>
      </c>
      <c r="B516" s="127" t="str">
        <f>"Gemeinde"&amp;_xlfn.XLOOKUP(A516,Auswahlliste!E:E,Auswahlliste!D:D,FALSE,FALSE)</f>
        <v>Gemeinde55</v>
      </c>
      <c r="C516" s="133" t="s">
        <v>702</v>
      </c>
      <c r="D516" s="135" t="s">
        <v>344</v>
      </c>
      <c r="E516" s="136">
        <v>0.4</v>
      </c>
    </row>
    <row r="517" spans="1:5">
      <c r="A517" t="s">
        <v>55</v>
      </c>
      <c r="B517" s="127" t="str">
        <f>"Gemeinde"&amp;_xlfn.XLOOKUP(A517,Auswahlliste!E:E,Auswahlliste!D:D,FALSE,FALSE)</f>
        <v>Gemeinde55</v>
      </c>
      <c r="C517" s="129" t="s">
        <v>703</v>
      </c>
      <c r="D517" s="126" t="s">
        <v>386</v>
      </c>
      <c r="E517" s="126">
        <v>0.15</v>
      </c>
    </row>
    <row r="518" spans="1:5">
      <c r="A518" t="s">
        <v>55</v>
      </c>
      <c r="B518" s="127" t="str">
        <f>"Gemeinde"&amp;_xlfn.XLOOKUP(A518,Auswahlliste!E:E,Auswahlliste!D:D,FALSE,FALSE)</f>
        <v>Gemeinde55</v>
      </c>
      <c r="C518" s="129" t="s">
        <v>704</v>
      </c>
      <c r="D518" s="126" t="s">
        <v>386</v>
      </c>
      <c r="E518" s="126">
        <v>0.3</v>
      </c>
    </row>
    <row r="519" spans="1:5">
      <c r="A519" t="s">
        <v>62</v>
      </c>
      <c r="B519" s="127" t="str">
        <f>"Gemeinde"&amp;_xlfn.XLOOKUP(A519,Auswahlliste!E:E,Auswahlliste!D:D,FALSE,FALSE)</f>
        <v>Gemeinde56</v>
      </c>
      <c r="C519" s="129" t="s">
        <v>439</v>
      </c>
      <c r="D519" s="126" t="s">
        <v>375</v>
      </c>
      <c r="E519" s="126">
        <v>0.32</v>
      </c>
    </row>
    <row r="520" spans="1:5">
      <c r="A520" t="s">
        <v>62</v>
      </c>
      <c r="B520" s="127" t="str">
        <f>"Gemeinde"&amp;_xlfn.XLOOKUP(A520,Auswahlliste!E:E,Auswahlliste!D:D,FALSE,FALSE)</f>
        <v>Gemeinde56</v>
      </c>
      <c r="C520" s="129" t="s">
        <v>435</v>
      </c>
      <c r="D520" s="126" t="s">
        <v>367</v>
      </c>
      <c r="E520" s="126">
        <v>0.44</v>
      </c>
    </row>
    <row r="521" spans="1:5">
      <c r="A521" t="s">
        <v>62</v>
      </c>
      <c r="B521" s="127" t="str">
        <f>"Gemeinde"&amp;_xlfn.XLOOKUP(A521,Auswahlliste!E:E,Auswahlliste!D:D,FALSE,FALSE)</f>
        <v>Gemeinde56</v>
      </c>
      <c r="C521" s="129" t="s">
        <v>189</v>
      </c>
      <c r="D521" s="126" t="s">
        <v>326</v>
      </c>
      <c r="E521" s="126">
        <v>0.43</v>
      </c>
    </row>
    <row r="522" spans="1:5">
      <c r="A522" t="s">
        <v>62</v>
      </c>
      <c r="B522" s="127" t="str">
        <f>"Gemeinde"&amp;_xlfn.XLOOKUP(A522,Auswahlliste!E:E,Auswahlliste!D:D,FALSE,FALSE)</f>
        <v>Gemeinde56</v>
      </c>
      <c r="C522" s="129" t="s">
        <v>190</v>
      </c>
      <c r="D522" s="126" t="s">
        <v>355</v>
      </c>
      <c r="E522" s="126">
        <v>0.45</v>
      </c>
    </row>
    <row r="523" spans="1:5">
      <c r="A523" t="s">
        <v>62</v>
      </c>
      <c r="B523" s="127" t="str">
        <f>"Gemeinde"&amp;_xlfn.XLOOKUP(A523,Auswahlliste!E:E,Auswahlliste!D:D,FALSE,FALSE)</f>
        <v>Gemeinde56</v>
      </c>
      <c r="C523" s="129" t="s">
        <v>473</v>
      </c>
      <c r="D523" s="126" t="s">
        <v>332</v>
      </c>
      <c r="E523" s="126">
        <v>0.44</v>
      </c>
    </row>
    <row r="524" spans="1:5">
      <c r="A524" t="s">
        <v>62</v>
      </c>
      <c r="B524" s="127" t="str">
        <f>"Gemeinde"&amp;_xlfn.XLOOKUP(A524,Auswahlliste!E:E,Auswahlliste!D:D,FALSE,FALSE)</f>
        <v>Gemeinde56</v>
      </c>
      <c r="C524" s="129" t="s">
        <v>474</v>
      </c>
      <c r="D524" s="126" t="s">
        <v>334</v>
      </c>
      <c r="E524" s="126">
        <v>0.43</v>
      </c>
    </row>
    <row r="525" spans="1:5">
      <c r="A525" t="s">
        <v>62</v>
      </c>
      <c r="B525" s="127" t="str">
        <f>"Gemeinde"&amp;_xlfn.XLOOKUP(A525,Auswahlliste!E:E,Auswahlliste!D:D,FALSE,FALSE)</f>
        <v>Gemeinde56</v>
      </c>
      <c r="C525" s="129" t="s">
        <v>475</v>
      </c>
      <c r="D525" s="126" t="s">
        <v>361</v>
      </c>
      <c r="E525" s="126">
        <v>0.45</v>
      </c>
    </row>
    <row r="526" spans="1:5">
      <c r="A526" t="s">
        <v>62</v>
      </c>
      <c r="B526" s="127" t="str">
        <f>"Gemeinde"&amp;_xlfn.XLOOKUP(A526,Auswahlliste!E:E,Auswahlliste!D:D,FALSE,FALSE)</f>
        <v>Gemeinde56</v>
      </c>
      <c r="C526" s="129" t="s">
        <v>397</v>
      </c>
      <c r="D526" s="126" t="s">
        <v>309</v>
      </c>
      <c r="E526" s="126">
        <v>0.64</v>
      </c>
    </row>
    <row r="527" spans="1:5">
      <c r="A527" t="s">
        <v>62</v>
      </c>
      <c r="B527" s="127" t="str">
        <f>"Gemeinde"&amp;_xlfn.XLOOKUP(A527,Auswahlliste!E:E,Auswahlliste!D:D,FALSE,FALSE)</f>
        <v>Gemeinde56</v>
      </c>
      <c r="C527" s="129" t="s">
        <v>340</v>
      </c>
      <c r="D527" s="126" t="s">
        <v>341</v>
      </c>
      <c r="E527" s="126">
        <v>0.64</v>
      </c>
    </row>
    <row r="528" spans="1:5">
      <c r="A528" t="s">
        <v>62</v>
      </c>
      <c r="B528" s="127" t="str">
        <f>"Gemeinde"&amp;_xlfn.XLOOKUP(A528,Auswahlliste!E:E,Auswahlliste!D:D,FALSE,FALSE)</f>
        <v>Gemeinde56</v>
      </c>
      <c r="C528" s="129" t="s">
        <v>343</v>
      </c>
      <c r="D528" s="126" t="s">
        <v>344</v>
      </c>
      <c r="E528" s="126">
        <v>0.69</v>
      </c>
    </row>
    <row r="529" spans="1:5">
      <c r="A529" t="s">
        <v>62</v>
      </c>
      <c r="B529" s="127" t="str">
        <f>"Gemeinde"&amp;_xlfn.XLOOKUP(A529,Auswahlliste!E:E,Auswahlliste!D:D,FALSE,FALSE)</f>
        <v>Gemeinde56</v>
      </c>
      <c r="C529" s="129" t="s">
        <v>15</v>
      </c>
      <c r="D529" s="126" t="s">
        <v>386</v>
      </c>
      <c r="E529" s="126">
        <v>0.64</v>
      </c>
    </row>
    <row r="530" spans="1:5">
      <c r="A530" t="s">
        <v>72</v>
      </c>
      <c r="B530" s="127" t="str">
        <f>"Gemeinde"&amp;_xlfn.XLOOKUP(A530,Auswahlliste!E:E,Auswahlliste!D:D,FALSE,FALSE)</f>
        <v>Gemeinde57</v>
      </c>
      <c r="C530" s="129" t="s">
        <v>471</v>
      </c>
      <c r="D530" s="126" t="s">
        <v>472</v>
      </c>
      <c r="E530" s="126">
        <v>0.25</v>
      </c>
    </row>
    <row r="531" spans="1:5">
      <c r="A531" t="s">
        <v>72</v>
      </c>
      <c r="B531" s="127" t="str">
        <f>"Gemeinde"&amp;_xlfn.XLOOKUP(A531,Auswahlliste!E:E,Auswahlliste!D:D,FALSE,FALSE)</f>
        <v>Gemeinde57</v>
      </c>
      <c r="C531" s="129" t="s">
        <v>435</v>
      </c>
      <c r="D531" s="126" t="s">
        <v>367</v>
      </c>
      <c r="E531" s="126">
        <v>0.3</v>
      </c>
    </row>
    <row r="532" spans="1:5">
      <c r="A532" t="s">
        <v>72</v>
      </c>
      <c r="B532" s="127" t="str">
        <f>"Gemeinde"&amp;_xlfn.XLOOKUP(A532,Auswahlliste!E:E,Auswahlliste!D:D,FALSE,FALSE)</f>
        <v>Gemeinde57</v>
      </c>
      <c r="C532" s="129" t="s">
        <v>189</v>
      </c>
      <c r="D532" s="126" t="s">
        <v>326</v>
      </c>
      <c r="E532" s="126">
        <v>0.35</v>
      </c>
    </row>
    <row r="533" spans="1:5">
      <c r="A533" t="s">
        <v>72</v>
      </c>
      <c r="B533" s="127" t="str">
        <f>"Gemeinde"&amp;_xlfn.XLOOKUP(A533,Auswahlliste!E:E,Auswahlliste!D:D,FALSE,FALSE)</f>
        <v>Gemeinde57</v>
      </c>
      <c r="C533" s="129" t="s">
        <v>473</v>
      </c>
      <c r="D533" s="126" t="s">
        <v>332</v>
      </c>
      <c r="E533" s="126">
        <v>0.35</v>
      </c>
    </row>
    <row r="534" spans="1:5">
      <c r="A534" t="s">
        <v>72</v>
      </c>
      <c r="B534" s="127" t="str">
        <f>"Gemeinde"&amp;_xlfn.XLOOKUP(A534,Auswahlliste!E:E,Auswahlliste!D:D,FALSE,FALSE)</f>
        <v>Gemeinde57</v>
      </c>
      <c r="C534" s="129" t="s">
        <v>474</v>
      </c>
      <c r="D534" s="126" t="s">
        <v>334</v>
      </c>
      <c r="E534" s="126">
        <v>0.4</v>
      </c>
    </row>
    <row r="535" spans="1:5">
      <c r="A535" t="s">
        <v>72</v>
      </c>
      <c r="B535" s="127" t="str">
        <f>"Gemeinde"&amp;_xlfn.XLOOKUP(A535,Auswahlliste!E:E,Auswahlliste!D:D,FALSE,FALSE)</f>
        <v>Gemeinde57</v>
      </c>
      <c r="C535" s="129" t="s">
        <v>397</v>
      </c>
      <c r="D535" s="126" t="s">
        <v>309</v>
      </c>
      <c r="E535" s="126">
        <v>0.5</v>
      </c>
    </row>
    <row r="536" spans="1:5">
      <c r="A536" t="s">
        <v>72</v>
      </c>
      <c r="B536" s="127" t="str">
        <f>"Gemeinde"&amp;_xlfn.XLOOKUP(A536,Auswahlliste!E:E,Auswahlliste!D:D,FALSE,FALSE)</f>
        <v>Gemeinde57</v>
      </c>
      <c r="C536" s="129" t="s">
        <v>340</v>
      </c>
      <c r="D536" s="126" t="s">
        <v>341</v>
      </c>
      <c r="E536" s="126">
        <v>0.7</v>
      </c>
    </row>
    <row r="537" spans="1:5">
      <c r="A537" t="s">
        <v>72</v>
      </c>
      <c r="B537" s="127" t="str">
        <f>"Gemeinde"&amp;_xlfn.XLOOKUP(A537,Auswahlliste!E:E,Auswahlliste!D:D,FALSE,FALSE)</f>
        <v>Gemeinde57</v>
      </c>
      <c r="C537" s="129" t="s">
        <v>343</v>
      </c>
      <c r="D537" s="126" t="s">
        <v>344</v>
      </c>
      <c r="E537" s="126">
        <v>0.5</v>
      </c>
    </row>
    <row r="538" spans="1:5">
      <c r="A538" t="s">
        <v>72</v>
      </c>
      <c r="B538" s="127" t="str">
        <f>"Gemeinde"&amp;_xlfn.XLOOKUP(A538,Auswahlliste!E:E,Auswahlliste!D:D,FALSE,FALSE)</f>
        <v>Gemeinde57</v>
      </c>
      <c r="C538" s="129" t="s">
        <v>15</v>
      </c>
      <c r="D538" s="126" t="s">
        <v>386</v>
      </c>
      <c r="E538" s="126">
        <v>0.1</v>
      </c>
    </row>
    <row r="539" spans="1:5">
      <c r="A539" t="s">
        <v>77</v>
      </c>
      <c r="B539" s="127" t="str">
        <f>"Gemeinde"&amp;_xlfn.XLOOKUP(A539,Auswahlliste!E:E,Auswahlliste!D:D,FALSE,FALSE)</f>
        <v>Gemeinde58</v>
      </c>
      <c r="C539" s="129" t="s">
        <v>435</v>
      </c>
      <c r="D539" s="126" t="s">
        <v>367</v>
      </c>
      <c r="E539" s="126">
        <v>0.3105</v>
      </c>
    </row>
    <row r="540" spans="1:5">
      <c r="A540" t="s">
        <v>77</v>
      </c>
      <c r="B540" s="127" t="str">
        <f>"Gemeinde"&amp;_xlfn.XLOOKUP(A540,Auswahlliste!E:E,Auswahlliste!D:D,FALSE,FALSE)</f>
        <v>Gemeinde58</v>
      </c>
      <c r="C540" s="129" t="s">
        <v>189</v>
      </c>
      <c r="D540" s="126" t="s">
        <v>326</v>
      </c>
      <c r="E540" s="126">
        <v>0.41400000000000003</v>
      </c>
    </row>
    <row r="541" spans="1:5">
      <c r="A541" t="s">
        <v>77</v>
      </c>
      <c r="B541" s="127" t="str">
        <f>"Gemeinde"&amp;_xlfn.XLOOKUP(A541,Auswahlliste!E:E,Auswahlliste!D:D,FALSE,FALSE)</f>
        <v>Gemeinde58</v>
      </c>
      <c r="C541" s="129" t="s">
        <v>190</v>
      </c>
      <c r="D541" s="126" t="s">
        <v>355</v>
      </c>
      <c r="E541" s="126">
        <v>0.36000000000000004</v>
      </c>
    </row>
    <row r="542" spans="1:5">
      <c r="A542" t="s">
        <v>77</v>
      </c>
      <c r="B542" s="127" t="str">
        <f>"Gemeinde"&amp;_xlfn.XLOOKUP(A542,Auswahlliste!E:E,Auswahlliste!D:D,FALSE,FALSE)</f>
        <v>Gemeinde58</v>
      </c>
      <c r="C542" s="129" t="s">
        <v>473</v>
      </c>
      <c r="D542" s="126" t="s">
        <v>332</v>
      </c>
      <c r="E542" s="126">
        <v>0.27</v>
      </c>
    </row>
    <row r="543" spans="1:5">
      <c r="A543" t="s">
        <v>77</v>
      </c>
      <c r="B543" s="127" t="str">
        <f>"Gemeinde"&amp;_xlfn.XLOOKUP(A543,Auswahlliste!E:E,Auswahlliste!D:D,FALSE,FALSE)</f>
        <v>Gemeinde58</v>
      </c>
      <c r="C543" s="133" t="s">
        <v>474</v>
      </c>
      <c r="D543" s="134" t="s">
        <v>334</v>
      </c>
      <c r="E543" s="136">
        <v>0.46800000000000003</v>
      </c>
    </row>
    <row r="544" spans="1:5">
      <c r="A544" t="s">
        <v>77</v>
      </c>
      <c r="B544" s="127" t="str">
        <f>"Gemeinde"&amp;_xlfn.XLOOKUP(A544,Auswahlliste!E:E,Auswahlliste!D:D,FALSE,FALSE)</f>
        <v>Gemeinde58</v>
      </c>
      <c r="C544" s="129" t="s">
        <v>475</v>
      </c>
      <c r="D544" s="126" t="s">
        <v>361</v>
      </c>
      <c r="E544" s="126">
        <v>0.45</v>
      </c>
    </row>
    <row r="545" spans="1:5">
      <c r="A545" t="s">
        <v>77</v>
      </c>
      <c r="B545" s="127" t="str">
        <f>"Gemeinde"&amp;_xlfn.XLOOKUP(A545,Auswahlliste!E:E,Auswahlliste!D:D,FALSE,FALSE)</f>
        <v>Gemeinde58</v>
      </c>
      <c r="C545" s="129" t="s">
        <v>397</v>
      </c>
      <c r="D545" s="126" t="s">
        <v>309</v>
      </c>
      <c r="E545" s="126">
        <v>0.6120000000000001</v>
      </c>
    </row>
    <row r="546" spans="1:5">
      <c r="A546" t="s">
        <v>77</v>
      </c>
      <c r="B546" s="127" t="str">
        <f>"Gemeinde"&amp;_xlfn.XLOOKUP(A546,Auswahlliste!E:E,Auswahlliste!D:D,FALSE,FALSE)</f>
        <v>Gemeinde58</v>
      </c>
      <c r="C546" s="129" t="s">
        <v>340</v>
      </c>
      <c r="D546" s="126" t="s">
        <v>341</v>
      </c>
      <c r="E546" s="126">
        <v>0.70200000000000007</v>
      </c>
    </row>
    <row r="547" spans="1:5">
      <c r="A547" t="s">
        <v>77</v>
      </c>
      <c r="B547" s="127" t="str">
        <f>"Gemeinde"&amp;_xlfn.XLOOKUP(A547,Auswahlliste!E:E,Auswahlliste!D:D,FALSE,FALSE)</f>
        <v>Gemeinde58</v>
      </c>
      <c r="C547" s="129" t="s">
        <v>343</v>
      </c>
      <c r="D547" s="126" t="s">
        <v>344</v>
      </c>
      <c r="E547" s="126">
        <v>0.58050000000000002</v>
      </c>
    </row>
    <row r="548" spans="1:5">
      <c r="A548" t="s">
        <v>77</v>
      </c>
      <c r="B548" s="127" t="str">
        <f>"Gemeinde"&amp;_xlfn.XLOOKUP(A548,Auswahlliste!E:E,Auswahlliste!D:D,FALSE,FALSE)</f>
        <v>Gemeinde58</v>
      </c>
      <c r="C548" s="129" t="s">
        <v>15</v>
      </c>
      <c r="D548" s="126" t="s">
        <v>386</v>
      </c>
      <c r="E548" s="126">
        <v>0.45</v>
      </c>
    </row>
    <row r="549" spans="1:5">
      <c r="A549" t="s">
        <v>56</v>
      </c>
      <c r="B549" s="127" t="str">
        <f>"Gemeinde"&amp;_xlfn.XLOOKUP(A549,Auswahlliste!E:E,Auswahlliste!D:D,FALSE,FALSE)</f>
        <v>Gemeinde59</v>
      </c>
      <c r="C549" s="129" t="s">
        <v>439</v>
      </c>
      <c r="D549" s="126" t="s">
        <v>375</v>
      </c>
      <c r="E549" s="126">
        <v>0.3</v>
      </c>
    </row>
    <row r="550" spans="1:5">
      <c r="A550" t="s">
        <v>56</v>
      </c>
      <c r="B550" s="127" t="str">
        <f>"Gemeinde"&amp;_xlfn.XLOOKUP(A550,Auswahlliste!E:E,Auswahlliste!D:D,FALSE,FALSE)</f>
        <v>Gemeinde59</v>
      </c>
      <c r="C550" s="129" t="s">
        <v>435</v>
      </c>
      <c r="D550" s="126" t="s">
        <v>367</v>
      </c>
      <c r="E550" s="126">
        <v>0.3</v>
      </c>
    </row>
    <row r="551" spans="1:5">
      <c r="A551" t="s">
        <v>56</v>
      </c>
      <c r="B551" s="127" t="str">
        <f>"Gemeinde"&amp;_xlfn.XLOOKUP(A551,Auswahlliste!E:E,Auswahlliste!D:D,FALSE,FALSE)</f>
        <v>Gemeinde59</v>
      </c>
      <c r="C551" s="129" t="s">
        <v>189</v>
      </c>
      <c r="D551" s="126" t="s">
        <v>326</v>
      </c>
      <c r="E551" s="126">
        <v>0.4</v>
      </c>
    </row>
    <row r="552" spans="1:5">
      <c r="A552" t="s">
        <v>56</v>
      </c>
      <c r="B552" s="127" t="str">
        <f>"Gemeinde"&amp;_xlfn.XLOOKUP(A552,Auswahlliste!E:E,Auswahlliste!D:D,FALSE,FALSE)</f>
        <v>Gemeinde59</v>
      </c>
      <c r="C552" s="129" t="s">
        <v>190</v>
      </c>
      <c r="D552" s="126" t="s">
        <v>355</v>
      </c>
      <c r="E552" s="126">
        <v>0.4</v>
      </c>
    </row>
    <row r="553" spans="1:5">
      <c r="A553" t="s">
        <v>56</v>
      </c>
      <c r="B553" s="127" t="str">
        <f>"Gemeinde"&amp;_xlfn.XLOOKUP(A553,Auswahlliste!E:E,Auswahlliste!D:D,FALSE,FALSE)</f>
        <v>Gemeinde59</v>
      </c>
      <c r="C553" s="129" t="s">
        <v>474</v>
      </c>
      <c r="D553" s="126" t="s">
        <v>334</v>
      </c>
      <c r="E553" s="126">
        <v>0.4</v>
      </c>
    </row>
    <row r="554" spans="1:5">
      <c r="A554" t="s">
        <v>56</v>
      </c>
      <c r="B554" s="127" t="str">
        <f>"Gemeinde"&amp;_xlfn.XLOOKUP(A554,Auswahlliste!E:E,Auswahlliste!D:D,FALSE,FALSE)</f>
        <v>Gemeinde59</v>
      </c>
      <c r="C554" s="129" t="s">
        <v>397</v>
      </c>
      <c r="D554" s="126" t="s">
        <v>309</v>
      </c>
      <c r="E554" s="126">
        <v>0.4</v>
      </c>
    </row>
    <row r="555" spans="1:5">
      <c r="A555" t="s">
        <v>56</v>
      </c>
      <c r="B555" s="127" t="str">
        <f>"Gemeinde"&amp;_xlfn.XLOOKUP(A555,Auswahlliste!E:E,Auswahlliste!D:D,FALSE,FALSE)</f>
        <v>Gemeinde59</v>
      </c>
      <c r="C555" s="129" t="s">
        <v>340</v>
      </c>
      <c r="D555" s="126" t="s">
        <v>341</v>
      </c>
      <c r="E555" s="126">
        <v>0.4</v>
      </c>
    </row>
    <row r="556" spans="1:5">
      <c r="A556" t="s">
        <v>56</v>
      </c>
      <c r="B556" s="127" t="str">
        <f>"Gemeinde"&amp;_xlfn.XLOOKUP(A556,Auswahlliste!E:E,Auswahlliste!D:D,FALSE,FALSE)</f>
        <v>Gemeinde59</v>
      </c>
      <c r="C556" s="129" t="s">
        <v>343</v>
      </c>
      <c r="D556" s="126" t="s">
        <v>344</v>
      </c>
      <c r="E556" s="126">
        <v>0.4</v>
      </c>
    </row>
    <row r="557" spans="1:5">
      <c r="A557" t="s">
        <v>60</v>
      </c>
      <c r="B557" s="127" t="str">
        <f>"Gemeinde"&amp;_xlfn.XLOOKUP(A557,Auswahlliste!E:E,Auswahlliste!D:D,FALSE,FALSE)</f>
        <v>Gemeinde60</v>
      </c>
      <c r="C557" s="129" t="s">
        <v>307</v>
      </c>
      <c r="D557" s="127" t="s">
        <v>175</v>
      </c>
      <c r="E557" s="126">
        <v>0.38</v>
      </c>
    </row>
    <row r="558" spans="1:5">
      <c r="A558" t="s">
        <v>60</v>
      </c>
      <c r="B558" s="127" t="str">
        <f>"Gemeinde"&amp;_xlfn.XLOOKUP(A558,Auswahlliste!E:E,Auswahlliste!D:D,FALSE,FALSE)</f>
        <v>Gemeinde60</v>
      </c>
      <c r="C558" s="129" t="s">
        <v>308</v>
      </c>
      <c r="D558" s="127" t="s">
        <v>309</v>
      </c>
      <c r="E558" s="126">
        <v>0.05</v>
      </c>
    </row>
    <row r="559" spans="1:5">
      <c r="A559" t="s">
        <v>60</v>
      </c>
      <c r="B559" s="127" t="str">
        <f>"Gemeinde"&amp;_xlfn.XLOOKUP(A559,Auswahlliste!E:E,Auswahlliste!D:D,FALSE,FALSE)</f>
        <v>Gemeinde60</v>
      </c>
      <c r="C559" s="129" t="s">
        <v>769</v>
      </c>
      <c r="D559" s="127" t="s">
        <v>337</v>
      </c>
      <c r="E559" s="126">
        <v>0.49</v>
      </c>
    </row>
    <row r="560" spans="1:5">
      <c r="A560" t="s">
        <v>60</v>
      </c>
      <c r="B560" s="127" t="str">
        <f>"Gemeinde"&amp;_xlfn.XLOOKUP(A560,Auswahlliste!E:E,Auswahlliste!D:D,FALSE,FALSE)</f>
        <v>Gemeinde60</v>
      </c>
      <c r="C560" s="129" t="s">
        <v>6</v>
      </c>
      <c r="D560" s="127" t="s">
        <v>312</v>
      </c>
      <c r="E560" s="126">
        <v>0.49</v>
      </c>
    </row>
    <row r="561" spans="1:5">
      <c r="A561" t="s">
        <v>60</v>
      </c>
      <c r="B561" s="127" t="str">
        <f>"Gemeinde"&amp;_xlfn.XLOOKUP(A561,Auswahlliste!E:E,Auswahlliste!D:D,FALSE,FALSE)</f>
        <v>Gemeinde60</v>
      </c>
      <c r="C561" s="129" t="s">
        <v>343</v>
      </c>
      <c r="D561" s="127" t="s">
        <v>344</v>
      </c>
      <c r="E561" s="126">
        <v>0.5</v>
      </c>
    </row>
    <row r="562" spans="1:5">
      <c r="A562" t="s">
        <v>60</v>
      </c>
      <c r="B562" s="127" t="str">
        <f>"Gemeinde"&amp;_xlfn.XLOOKUP(A562,Auswahlliste!E:E,Auswahlliste!D:D,FALSE,FALSE)</f>
        <v>Gemeinde60</v>
      </c>
      <c r="C562" s="129" t="s">
        <v>353</v>
      </c>
      <c r="D562" s="127" t="s">
        <v>306</v>
      </c>
      <c r="E562" s="126">
        <v>0.05</v>
      </c>
    </row>
    <row r="563" spans="1:5">
      <c r="A563" t="s">
        <v>60</v>
      </c>
      <c r="B563" s="127" t="str">
        <f>"Gemeinde"&amp;_xlfn.XLOOKUP(A563,Auswahlliste!E:E,Auswahlliste!D:D,FALSE,FALSE)</f>
        <v>Gemeinde60</v>
      </c>
      <c r="C563" s="133" t="s">
        <v>315</v>
      </c>
      <c r="D563" s="31" t="s">
        <v>316</v>
      </c>
      <c r="E563" s="136">
        <v>0.23</v>
      </c>
    </row>
    <row r="564" spans="1:5">
      <c r="A564" t="s">
        <v>60</v>
      </c>
      <c r="B564" s="127" t="str">
        <f>"Gemeinde"&amp;_xlfn.XLOOKUP(A564,Auswahlliste!E:E,Auswahlliste!D:D,FALSE,FALSE)</f>
        <v>Gemeinde60</v>
      </c>
      <c r="C564" s="129" t="s">
        <v>315</v>
      </c>
      <c r="D564" s="127" t="s">
        <v>317</v>
      </c>
      <c r="E564" s="126">
        <v>0.23</v>
      </c>
    </row>
    <row r="565" spans="1:5">
      <c r="A565" t="s">
        <v>60</v>
      </c>
      <c r="B565" s="127" t="str">
        <f>"Gemeinde"&amp;_xlfn.XLOOKUP(A565,Auswahlliste!E:E,Auswahlliste!D:D,FALSE,FALSE)</f>
        <v>Gemeinde60</v>
      </c>
      <c r="C565" s="129" t="s">
        <v>318</v>
      </c>
      <c r="D565" s="127" t="s">
        <v>319</v>
      </c>
      <c r="E565" s="126">
        <v>0.65</v>
      </c>
    </row>
    <row r="566" spans="1:5">
      <c r="A566" t="s">
        <v>60</v>
      </c>
      <c r="B566" s="127" t="str">
        <f>"Gemeinde"&amp;_xlfn.XLOOKUP(A566,Auswahlliste!E:E,Auswahlliste!D:D,FALSE,FALSE)</f>
        <v>Gemeinde60</v>
      </c>
      <c r="C566" s="129" t="s">
        <v>320</v>
      </c>
      <c r="D566" s="127" t="s">
        <v>321</v>
      </c>
      <c r="E566" s="126">
        <v>0.1</v>
      </c>
    </row>
    <row r="567" spans="1:5">
      <c r="A567" t="s">
        <v>60</v>
      </c>
      <c r="B567" s="127" t="str">
        <f>"Gemeinde"&amp;_xlfn.XLOOKUP(A567,Auswahlliste!E:E,Auswahlliste!D:D,FALSE,FALSE)</f>
        <v>Gemeinde60</v>
      </c>
      <c r="C567" s="129" t="s">
        <v>318</v>
      </c>
      <c r="D567" s="127" t="s">
        <v>322</v>
      </c>
      <c r="E567" s="126">
        <v>0.65</v>
      </c>
    </row>
    <row r="568" spans="1:5">
      <c r="A568" t="s">
        <v>60</v>
      </c>
      <c r="B568" s="127" t="str">
        <f>"Gemeinde"&amp;_xlfn.XLOOKUP(A568,Auswahlliste!E:E,Auswahlliste!D:D,FALSE,FALSE)</f>
        <v>Gemeinde60</v>
      </c>
      <c r="C568" s="129" t="s">
        <v>323</v>
      </c>
      <c r="D568" s="127" t="s">
        <v>324</v>
      </c>
      <c r="E568" s="126">
        <v>0.32</v>
      </c>
    </row>
    <row r="569" spans="1:5">
      <c r="A569" t="s">
        <v>60</v>
      </c>
      <c r="B569" s="127" t="str">
        <f>"Gemeinde"&amp;_xlfn.XLOOKUP(A569,Auswahlliste!E:E,Auswahlliste!D:D,FALSE,FALSE)</f>
        <v>Gemeinde60</v>
      </c>
      <c r="C569" s="129" t="s">
        <v>325</v>
      </c>
      <c r="D569" s="127" t="s">
        <v>326</v>
      </c>
      <c r="E569" s="126">
        <v>0.39</v>
      </c>
    </row>
    <row r="570" spans="1:5">
      <c r="A570" t="s">
        <v>60</v>
      </c>
      <c r="B570" s="127" t="str">
        <f>"Gemeinde"&amp;_xlfn.XLOOKUP(A570,Auswahlliste!E:E,Auswahlliste!D:D,FALSE,FALSE)</f>
        <v>Gemeinde60</v>
      </c>
      <c r="C570" s="129" t="s">
        <v>354</v>
      </c>
      <c r="D570" s="127" t="s">
        <v>355</v>
      </c>
      <c r="E570" s="126">
        <v>0.44</v>
      </c>
    </row>
    <row r="571" spans="1:5">
      <c r="A571" t="s">
        <v>60</v>
      </c>
      <c r="B571" s="127" t="str">
        <f>"Gemeinde"&amp;_xlfn.XLOOKUP(A571,Auswahlliste!E:E,Auswahlliste!D:D,FALSE,FALSE)</f>
        <v>Gemeinde60</v>
      </c>
      <c r="C571" s="129" t="s">
        <v>327</v>
      </c>
      <c r="D571" s="127" t="s">
        <v>328</v>
      </c>
      <c r="E571" s="126">
        <v>0.05</v>
      </c>
    </row>
    <row r="572" spans="1:5">
      <c r="A572" t="s">
        <v>60</v>
      </c>
      <c r="B572" s="127" t="str">
        <f>"Gemeinde"&amp;_xlfn.XLOOKUP(A572,Auswahlliste!E:E,Auswahlliste!D:D,FALSE,FALSE)</f>
        <v>Gemeinde60</v>
      </c>
      <c r="C572" s="129" t="s">
        <v>329</v>
      </c>
      <c r="D572" s="127" t="s">
        <v>330</v>
      </c>
      <c r="E572" s="126">
        <v>0.31</v>
      </c>
    </row>
    <row r="573" spans="1:5">
      <c r="A573" t="s">
        <v>60</v>
      </c>
      <c r="B573" s="127" t="str">
        <f>"Gemeinde"&amp;_xlfn.XLOOKUP(A573,Auswahlliste!E:E,Auswahlliste!D:D,FALSE,FALSE)</f>
        <v>Gemeinde60</v>
      </c>
      <c r="C573" s="129" t="s">
        <v>356</v>
      </c>
      <c r="D573" s="127" t="s">
        <v>357</v>
      </c>
      <c r="E573" s="126">
        <v>0.31</v>
      </c>
    </row>
    <row r="574" spans="1:5">
      <c r="A574" t="s">
        <v>60</v>
      </c>
      <c r="B574" s="127" t="str">
        <f>"Gemeinde"&amp;_xlfn.XLOOKUP(A574,Auswahlliste!E:E,Auswahlliste!D:D,FALSE,FALSE)</f>
        <v>Gemeinde60</v>
      </c>
      <c r="C574" s="129" t="s">
        <v>331</v>
      </c>
      <c r="D574" s="127" t="s">
        <v>332</v>
      </c>
      <c r="E574" s="126">
        <v>0.36</v>
      </c>
    </row>
    <row r="575" spans="1:5">
      <c r="A575" t="s">
        <v>60</v>
      </c>
      <c r="B575" s="127" t="str">
        <f>"Gemeinde"&amp;_xlfn.XLOOKUP(A575,Auswahlliste!E:E,Auswahlliste!D:D,FALSE,FALSE)</f>
        <v>Gemeinde60</v>
      </c>
      <c r="C575" s="129" t="s">
        <v>358</v>
      </c>
      <c r="D575" s="127" t="s">
        <v>359</v>
      </c>
      <c r="E575" s="126">
        <v>0.36</v>
      </c>
    </row>
    <row r="576" spans="1:5">
      <c r="A576" t="s">
        <v>60</v>
      </c>
      <c r="B576" s="127" t="str">
        <f>"Gemeinde"&amp;_xlfn.XLOOKUP(A576,Auswahlliste!E:E,Auswahlliste!D:D,FALSE,FALSE)</f>
        <v>Gemeinde60</v>
      </c>
      <c r="C576" s="129" t="s">
        <v>333</v>
      </c>
      <c r="D576" s="127" t="s">
        <v>334</v>
      </c>
      <c r="E576" s="126">
        <v>0.45</v>
      </c>
    </row>
    <row r="577" spans="1:5">
      <c r="A577" t="s">
        <v>29</v>
      </c>
      <c r="B577" s="127" t="str">
        <f>"Gemeinde"&amp;_xlfn.XLOOKUP(A577,Auswahlliste!E:E,Auswahlliste!D:D,FALSE,FALSE)</f>
        <v>Gemeinde61</v>
      </c>
      <c r="C577" s="264" t="s">
        <v>731</v>
      </c>
      <c r="D577" s="264"/>
      <c r="E577" s="264"/>
    </row>
    <row r="578" spans="1:5">
      <c r="A578" t="s">
        <v>44</v>
      </c>
      <c r="B578" s="127" t="str">
        <f>"Gemeinde"&amp;_xlfn.XLOOKUP(A578,Auswahlliste!E:E,Auswahlliste!D:D,FALSE,FALSE)</f>
        <v>Gemeinde62</v>
      </c>
      <c r="C578" s="129" t="s">
        <v>439</v>
      </c>
      <c r="D578" s="126" t="s">
        <v>375</v>
      </c>
      <c r="E578" s="126">
        <v>0.1</v>
      </c>
    </row>
    <row r="579" spans="1:5">
      <c r="A579" t="s">
        <v>44</v>
      </c>
      <c r="B579" s="127" t="str">
        <f>"Gemeinde"&amp;_xlfn.XLOOKUP(A579,Auswahlliste!E:E,Auswahlliste!D:D,FALSE,FALSE)</f>
        <v>Gemeinde62</v>
      </c>
      <c r="C579" s="129" t="s">
        <v>435</v>
      </c>
      <c r="D579" s="126" t="s">
        <v>367</v>
      </c>
      <c r="E579" s="126">
        <v>0.1</v>
      </c>
    </row>
    <row r="580" spans="1:5">
      <c r="A580" t="s">
        <v>44</v>
      </c>
      <c r="B580" s="127" t="str">
        <f>"Gemeinde"&amp;_xlfn.XLOOKUP(A580,Auswahlliste!E:E,Auswahlliste!D:D,FALSE,FALSE)</f>
        <v>Gemeinde62</v>
      </c>
      <c r="C580" s="129" t="s">
        <v>189</v>
      </c>
      <c r="D580" s="126" t="s">
        <v>326</v>
      </c>
      <c r="E580" s="126">
        <v>0.1</v>
      </c>
    </row>
    <row r="581" spans="1:5">
      <c r="A581" t="s">
        <v>44</v>
      </c>
      <c r="B581" s="127" t="str">
        <f>"Gemeinde"&amp;_xlfn.XLOOKUP(A581,Auswahlliste!E:E,Auswahlliste!D:D,FALSE,FALSE)</f>
        <v>Gemeinde62</v>
      </c>
      <c r="C581" s="133" t="s">
        <v>190</v>
      </c>
      <c r="D581" s="136" t="s">
        <v>355</v>
      </c>
      <c r="E581" s="136">
        <v>0.1</v>
      </c>
    </row>
    <row r="582" spans="1:5">
      <c r="A582" t="s">
        <v>44</v>
      </c>
      <c r="B582" s="127" t="str">
        <f>"Gemeinde"&amp;_xlfn.XLOOKUP(A582,Auswahlliste!E:E,Auswahlliste!D:D,FALSE,FALSE)</f>
        <v>Gemeinde62</v>
      </c>
      <c r="C582" s="129" t="s">
        <v>197</v>
      </c>
      <c r="D582" s="126" t="s">
        <v>346</v>
      </c>
      <c r="E582" s="126">
        <v>0.15</v>
      </c>
    </row>
    <row r="583" spans="1:5">
      <c r="A583" t="s">
        <v>44</v>
      </c>
      <c r="B583" s="127" t="str">
        <f>"Gemeinde"&amp;_xlfn.XLOOKUP(A583,Auswahlliste!E:E,Auswahlliste!D:D,FALSE,FALSE)</f>
        <v>Gemeinde62</v>
      </c>
      <c r="C583" s="129" t="s">
        <v>198</v>
      </c>
      <c r="D583" s="126" t="s">
        <v>314</v>
      </c>
      <c r="E583" s="126">
        <v>0.15</v>
      </c>
    </row>
    <row r="584" spans="1:5">
      <c r="A584" t="s">
        <v>44</v>
      </c>
      <c r="B584" s="127" t="str">
        <f>"Gemeinde"&amp;_xlfn.XLOOKUP(A584,Auswahlliste!E:E,Auswahlliste!D:D,FALSE,FALSE)</f>
        <v>Gemeinde62</v>
      </c>
      <c r="C584" s="129" t="s">
        <v>199</v>
      </c>
      <c r="D584" s="126" t="s">
        <v>384</v>
      </c>
      <c r="E584" s="126">
        <v>0.15</v>
      </c>
    </row>
    <row r="585" spans="1:5">
      <c r="A585" t="s">
        <v>44</v>
      </c>
      <c r="B585" s="127" t="str">
        <f>"Gemeinde"&amp;_xlfn.XLOOKUP(A585,Auswahlliste!E:E,Auswahlliste!D:D,FALSE,FALSE)</f>
        <v>Gemeinde62</v>
      </c>
      <c r="C585" s="129" t="s">
        <v>473</v>
      </c>
      <c r="D585" s="126" t="s">
        <v>332</v>
      </c>
      <c r="E585" s="126">
        <v>0.15</v>
      </c>
    </row>
    <row r="586" spans="1:5">
      <c r="A586" t="s">
        <v>44</v>
      </c>
      <c r="B586" s="127" t="str">
        <f>"Gemeinde"&amp;_xlfn.XLOOKUP(A586,Auswahlliste!E:E,Auswahlliste!D:D,FALSE,FALSE)</f>
        <v>Gemeinde62</v>
      </c>
      <c r="C586" s="129" t="s">
        <v>474</v>
      </c>
      <c r="D586" s="126" t="s">
        <v>334</v>
      </c>
      <c r="E586" s="126">
        <v>0.15</v>
      </c>
    </row>
    <row r="587" spans="1:5">
      <c r="A587" t="s">
        <v>44</v>
      </c>
      <c r="B587" s="127" t="str">
        <f>"Gemeinde"&amp;_xlfn.XLOOKUP(A587,Auswahlliste!E:E,Auswahlliste!D:D,FALSE,FALSE)</f>
        <v>Gemeinde62</v>
      </c>
      <c r="C587" s="129" t="s">
        <v>475</v>
      </c>
      <c r="D587" s="126" t="s">
        <v>361</v>
      </c>
      <c r="E587" s="126">
        <v>0.15</v>
      </c>
    </row>
    <row r="588" spans="1:5">
      <c r="A588" t="s">
        <v>44</v>
      </c>
      <c r="B588" s="127" t="str">
        <f>"Gemeinde"&amp;_xlfn.XLOOKUP(A588,Auswahlliste!E:E,Auswahlliste!D:D,FALSE,FALSE)</f>
        <v>Gemeinde62</v>
      </c>
      <c r="C588" s="129" t="s">
        <v>428</v>
      </c>
      <c r="D588" s="126" t="s">
        <v>371</v>
      </c>
      <c r="E588" s="126">
        <v>0.15</v>
      </c>
    </row>
    <row r="589" spans="1:5">
      <c r="A589" t="s">
        <v>44</v>
      </c>
      <c r="B589" s="127" t="str">
        <f>"Gemeinde"&amp;_xlfn.XLOOKUP(A589,Auswahlliste!E:E,Auswahlliste!D:D,FALSE,FALSE)</f>
        <v>Gemeinde62</v>
      </c>
      <c r="C589" s="129" t="s">
        <v>340</v>
      </c>
      <c r="D589" s="126" t="s">
        <v>341</v>
      </c>
      <c r="E589" s="126">
        <v>0.15</v>
      </c>
    </row>
    <row r="590" spans="1:5">
      <c r="A590" t="s">
        <v>44</v>
      </c>
      <c r="B590" s="127" t="str">
        <f>"Gemeinde"&amp;_xlfn.XLOOKUP(A590,Auswahlliste!E:E,Auswahlliste!D:D,FALSE,FALSE)</f>
        <v>Gemeinde62</v>
      </c>
      <c r="C590" s="129" t="s">
        <v>15</v>
      </c>
      <c r="D590" s="126" t="s">
        <v>457</v>
      </c>
      <c r="E590" s="126">
        <v>0.15</v>
      </c>
    </row>
    <row r="591" spans="1:5">
      <c r="A591" t="s">
        <v>44</v>
      </c>
      <c r="B591" s="127" t="str">
        <f>"Gemeinde"&amp;_xlfn.XLOOKUP(A591,Auswahlliste!E:E,Auswahlliste!D:D,FALSE,FALSE)</f>
        <v>Gemeinde62</v>
      </c>
      <c r="C591" s="129" t="s">
        <v>479</v>
      </c>
      <c r="D591" s="126" t="s">
        <v>426</v>
      </c>
      <c r="E591" s="126">
        <v>0.1</v>
      </c>
    </row>
    <row r="592" spans="1:5">
      <c r="A592" t="s">
        <v>44</v>
      </c>
      <c r="B592" s="127" t="str">
        <f>"Gemeinde"&amp;_xlfn.XLOOKUP(A592,Auswahlliste!E:E,Auswahlliste!D:D,FALSE,FALSE)</f>
        <v>Gemeinde62</v>
      </c>
      <c r="C592" s="129" t="s">
        <v>480</v>
      </c>
      <c r="D592" s="126" t="s">
        <v>481</v>
      </c>
      <c r="E592" s="126">
        <v>0.15</v>
      </c>
    </row>
    <row r="593" spans="1:5">
      <c r="A593" t="s">
        <v>35</v>
      </c>
      <c r="B593" s="127" t="str">
        <f>"Gemeinde"&amp;_xlfn.XLOOKUP(A593,Auswahlliste!E:E,Auswahlliste!D:D,FALSE,FALSE)</f>
        <v>Gemeinde63</v>
      </c>
      <c r="C593" s="80" t="s">
        <v>731</v>
      </c>
    </row>
    <row r="594" spans="1:5">
      <c r="A594" t="s">
        <v>42</v>
      </c>
      <c r="B594" s="127" t="str">
        <f>"Gemeinde"&amp;_xlfn.XLOOKUP(A594,Auswahlliste!E:E,Auswahlliste!D:D,FALSE,FALSE)</f>
        <v>Gemeinde64</v>
      </c>
      <c r="C594" s="129" t="s">
        <v>435</v>
      </c>
      <c r="D594" s="126" t="s">
        <v>367</v>
      </c>
      <c r="E594" s="126">
        <v>0.1</v>
      </c>
    </row>
    <row r="595" spans="1:5">
      <c r="A595" t="s">
        <v>42</v>
      </c>
      <c r="B595" s="127" t="str">
        <f>"Gemeinde"&amp;_xlfn.XLOOKUP(A595,Auswahlliste!E:E,Auswahlliste!D:D,FALSE,FALSE)</f>
        <v>Gemeinde64</v>
      </c>
      <c r="C595" s="129" t="s">
        <v>189</v>
      </c>
      <c r="D595" s="126" t="s">
        <v>326</v>
      </c>
      <c r="E595" s="126">
        <v>0.1</v>
      </c>
    </row>
    <row r="596" spans="1:5">
      <c r="A596" t="s">
        <v>42</v>
      </c>
      <c r="B596" s="127" t="str">
        <f>"Gemeinde"&amp;_xlfn.XLOOKUP(A596,Auswahlliste!E:E,Auswahlliste!D:D,FALSE,FALSE)</f>
        <v>Gemeinde64</v>
      </c>
      <c r="C596" s="129" t="s">
        <v>190</v>
      </c>
      <c r="D596" s="126" t="s">
        <v>355</v>
      </c>
      <c r="E596" s="126">
        <v>0.1</v>
      </c>
    </row>
    <row r="597" spans="1:5">
      <c r="A597" t="s">
        <v>42</v>
      </c>
      <c r="B597" s="127" t="str">
        <f>"Gemeinde"&amp;_xlfn.XLOOKUP(A597,Auswahlliste!E:E,Auswahlliste!D:D,FALSE,FALSE)</f>
        <v>Gemeinde64</v>
      </c>
      <c r="C597" s="129" t="s">
        <v>196</v>
      </c>
      <c r="D597" s="126" t="s">
        <v>297</v>
      </c>
      <c r="E597" s="126">
        <v>0.15</v>
      </c>
    </row>
    <row r="598" spans="1:5">
      <c r="A598" t="s">
        <v>42</v>
      </c>
      <c r="B598" s="127" t="str">
        <f>"Gemeinde"&amp;_xlfn.XLOOKUP(A598,Auswahlliste!E:E,Auswahlliste!D:D,FALSE,FALSE)</f>
        <v>Gemeinde64</v>
      </c>
      <c r="C598" s="129" t="s">
        <v>482</v>
      </c>
      <c r="D598" s="126" t="s">
        <v>344</v>
      </c>
      <c r="E598" s="126">
        <v>0.15</v>
      </c>
    </row>
    <row r="599" spans="1:5">
      <c r="A599" t="s">
        <v>42</v>
      </c>
      <c r="B599" s="127" t="str">
        <f>"Gemeinde"&amp;_xlfn.XLOOKUP(A599,Auswahlliste!E:E,Auswahlliste!D:D,FALSE,FALSE)</f>
        <v>Gemeinde64</v>
      </c>
      <c r="C599" s="129" t="s">
        <v>473</v>
      </c>
      <c r="D599" s="126" t="s">
        <v>332</v>
      </c>
      <c r="E599" s="126">
        <v>0.15</v>
      </c>
    </row>
    <row r="600" spans="1:5">
      <c r="A600" t="s">
        <v>42</v>
      </c>
      <c r="B600" s="127" t="str">
        <f>"Gemeinde"&amp;_xlfn.XLOOKUP(A600,Auswahlliste!E:E,Auswahlliste!D:D,FALSE,FALSE)</f>
        <v>Gemeinde64</v>
      </c>
      <c r="C600" s="129" t="s">
        <v>474</v>
      </c>
      <c r="D600" s="126" t="s">
        <v>334</v>
      </c>
      <c r="E600" s="126">
        <v>0.15</v>
      </c>
    </row>
    <row r="601" spans="1:5">
      <c r="A601" t="s">
        <v>42</v>
      </c>
      <c r="B601" s="127" t="str">
        <f>"Gemeinde"&amp;_xlfn.XLOOKUP(A601,Auswahlliste!E:E,Auswahlliste!D:D,FALSE,FALSE)</f>
        <v>Gemeinde64</v>
      </c>
      <c r="C601" s="129" t="s">
        <v>475</v>
      </c>
      <c r="D601" s="126" t="s">
        <v>361</v>
      </c>
      <c r="E601" s="126">
        <v>0.15</v>
      </c>
    </row>
    <row r="602" spans="1:5">
      <c r="A602" t="s">
        <v>42</v>
      </c>
      <c r="B602" s="127" t="str">
        <f>"Gemeinde"&amp;_xlfn.XLOOKUP(A602,Auswahlliste!E:E,Auswahlliste!D:D,FALSE,FALSE)</f>
        <v>Gemeinde64</v>
      </c>
      <c r="C602" s="133" t="s">
        <v>428</v>
      </c>
      <c r="D602" s="136" t="s">
        <v>371</v>
      </c>
      <c r="E602" s="136">
        <v>0.15</v>
      </c>
    </row>
    <row r="603" spans="1:5">
      <c r="A603" t="s">
        <v>42</v>
      </c>
      <c r="B603" s="127" t="str">
        <f>"Gemeinde"&amp;_xlfn.XLOOKUP(A603,Auswahlliste!E:E,Auswahlliste!D:D,FALSE,FALSE)</f>
        <v>Gemeinde64</v>
      </c>
      <c r="C603" s="129" t="s">
        <v>340</v>
      </c>
      <c r="D603" s="126" t="s">
        <v>341</v>
      </c>
      <c r="E603" s="126">
        <v>0.15</v>
      </c>
    </row>
    <row r="604" spans="1:5">
      <c r="A604" t="s">
        <v>42</v>
      </c>
      <c r="B604" s="127" t="str">
        <f>"Gemeinde"&amp;_xlfn.XLOOKUP(A604,Auswahlliste!E:E,Auswahlliste!D:D,FALSE,FALSE)</f>
        <v>Gemeinde64</v>
      </c>
      <c r="C604" s="129" t="s">
        <v>15</v>
      </c>
      <c r="D604" s="126" t="s">
        <v>386</v>
      </c>
      <c r="E604" s="126">
        <v>0.15</v>
      </c>
    </row>
    <row r="605" spans="1:5">
      <c r="A605" t="s">
        <v>42</v>
      </c>
      <c r="B605" s="127" t="str">
        <f>"Gemeinde"&amp;_xlfn.XLOOKUP(A605,Auswahlliste!E:E,Auswahlliste!D:D,FALSE,FALSE)</f>
        <v>Gemeinde64</v>
      </c>
      <c r="C605" s="129" t="s">
        <v>394</v>
      </c>
      <c r="D605" s="126" t="s">
        <v>477</v>
      </c>
      <c r="E605" s="126">
        <v>0.15</v>
      </c>
    </row>
    <row r="606" spans="1:5">
      <c r="A606" t="s">
        <v>42</v>
      </c>
      <c r="B606" s="127" t="str">
        <f>"Gemeinde"&amp;_xlfn.XLOOKUP(A606,Auswahlliste!E:E,Auswahlliste!D:D,FALSE,FALSE)</f>
        <v>Gemeinde64</v>
      </c>
      <c r="C606" s="129" t="s">
        <v>479</v>
      </c>
      <c r="D606" s="126" t="s">
        <v>426</v>
      </c>
      <c r="E606" s="126">
        <v>0.1</v>
      </c>
    </row>
    <row r="607" spans="1:5">
      <c r="A607" t="s">
        <v>42</v>
      </c>
      <c r="B607" s="127" t="str">
        <f>"Gemeinde"&amp;_xlfn.XLOOKUP(A607,Auswahlliste!E:E,Auswahlliste!D:D,FALSE,FALSE)</f>
        <v>Gemeinde64</v>
      </c>
      <c r="C607" s="129" t="s">
        <v>478</v>
      </c>
      <c r="D607" s="126"/>
      <c r="E607" s="126">
        <v>0.15</v>
      </c>
    </row>
    <row r="608" spans="1:5">
      <c r="A608" t="s">
        <v>37</v>
      </c>
      <c r="B608" s="127" t="str">
        <f>"Gemeinde"&amp;_xlfn.XLOOKUP(A608,Auswahlliste!E:E,Auswahlliste!D:D,FALSE,FALSE)</f>
        <v>Gemeinde65</v>
      </c>
      <c r="C608" s="129" t="s">
        <v>471</v>
      </c>
      <c r="D608" s="126" t="s">
        <v>472</v>
      </c>
      <c r="E608" s="126">
        <v>0.15</v>
      </c>
    </row>
    <row r="609" spans="1:5">
      <c r="A609" t="s">
        <v>37</v>
      </c>
      <c r="B609" s="127" t="str">
        <f>"Gemeinde"&amp;_xlfn.XLOOKUP(A609,Auswahlliste!E:E,Auswahlliste!D:D,FALSE,FALSE)</f>
        <v>Gemeinde65</v>
      </c>
      <c r="C609" s="129" t="s">
        <v>726</v>
      </c>
      <c r="D609" s="126" t="s">
        <v>706</v>
      </c>
      <c r="E609" s="126">
        <v>0.15</v>
      </c>
    </row>
    <row r="610" spans="1:5">
      <c r="A610" t="s">
        <v>37</v>
      </c>
      <c r="B610" s="127" t="str">
        <f>"Gemeinde"&amp;_xlfn.XLOOKUP(A610,Auswahlliste!E:E,Auswahlliste!D:D,FALSE,FALSE)</f>
        <v>Gemeinde65</v>
      </c>
      <c r="C610" s="129" t="s">
        <v>189</v>
      </c>
      <c r="D610" s="126" t="s">
        <v>326</v>
      </c>
      <c r="E610" s="126">
        <v>0.2</v>
      </c>
    </row>
    <row r="611" spans="1:5">
      <c r="A611" t="s">
        <v>37</v>
      </c>
      <c r="B611" s="127" t="str">
        <f>"Gemeinde"&amp;_xlfn.XLOOKUP(A611,Auswahlliste!E:E,Auswahlliste!D:D,FALSE,FALSE)</f>
        <v>Gemeinde65</v>
      </c>
      <c r="C611" s="129" t="s">
        <v>727</v>
      </c>
      <c r="D611" s="126" t="s">
        <v>332</v>
      </c>
      <c r="E611" s="126">
        <v>0.2</v>
      </c>
    </row>
    <row r="612" spans="1:5">
      <c r="A612" t="s">
        <v>37</v>
      </c>
      <c r="B612" s="127" t="str">
        <f>"Gemeinde"&amp;_xlfn.XLOOKUP(A612,Auswahlliste!E:E,Auswahlliste!D:D,FALSE,FALSE)</f>
        <v>Gemeinde65</v>
      </c>
      <c r="C612" s="129" t="s">
        <v>728</v>
      </c>
      <c r="D612" s="126" t="s">
        <v>334</v>
      </c>
      <c r="E612" s="126">
        <v>0.2</v>
      </c>
    </row>
    <row r="613" spans="1:5">
      <c r="A613" t="s">
        <v>37</v>
      </c>
      <c r="B613" s="127" t="str">
        <f>"Gemeinde"&amp;_xlfn.XLOOKUP(A613,Auswahlliste!E:E,Auswahlliste!D:D,FALSE,FALSE)</f>
        <v>Gemeinde65</v>
      </c>
      <c r="C613" s="129" t="s">
        <v>310</v>
      </c>
      <c r="D613" s="126" t="s">
        <v>371</v>
      </c>
      <c r="E613" s="126">
        <v>0.3</v>
      </c>
    </row>
    <row r="614" spans="1:5">
      <c r="A614" t="s">
        <v>37</v>
      </c>
      <c r="B614" s="127" t="str">
        <f>"Gemeinde"&amp;_xlfn.XLOOKUP(A614,Auswahlliste!E:E,Auswahlliste!D:D,FALSE,FALSE)</f>
        <v>Gemeinde65</v>
      </c>
      <c r="C614" s="129" t="s">
        <v>340</v>
      </c>
      <c r="D614" s="126" t="s">
        <v>341</v>
      </c>
      <c r="E614" s="126">
        <v>0.3</v>
      </c>
    </row>
    <row r="615" spans="1:5">
      <c r="A615" t="s">
        <v>37</v>
      </c>
      <c r="B615" s="127" t="str">
        <f>"Gemeinde"&amp;_xlfn.XLOOKUP(A615,Auswahlliste!E:E,Auswahlliste!D:D,FALSE,FALSE)</f>
        <v>Gemeinde65</v>
      </c>
      <c r="C615" s="129" t="s">
        <v>13</v>
      </c>
      <c r="D615" s="126" t="s">
        <v>432</v>
      </c>
      <c r="E615" s="126">
        <v>0.25</v>
      </c>
    </row>
    <row r="616" spans="1:5">
      <c r="A616" t="s">
        <v>37</v>
      </c>
      <c r="B616" s="127" t="str">
        <f>"Gemeinde"&amp;_xlfn.XLOOKUP(A616,Auswahlliste!E:E,Auswahlliste!D:D,FALSE,FALSE)</f>
        <v>Gemeinde65</v>
      </c>
      <c r="C616" s="129" t="s">
        <v>197</v>
      </c>
      <c r="D616" s="126" t="s">
        <v>346</v>
      </c>
      <c r="E616" s="126">
        <v>0.25</v>
      </c>
    </row>
    <row r="617" spans="1:5">
      <c r="A617" t="s">
        <v>37</v>
      </c>
      <c r="B617" s="127" t="str">
        <f>"Gemeinde"&amp;_xlfn.XLOOKUP(A617,Auswahlliste!E:E,Auswahlliste!D:D,FALSE,FALSE)</f>
        <v>Gemeinde65</v>
      </c>
      <c r="C617" s="129" t="s">
        <v>729</v>
      </c>
      <c r="D617" s="126" t="s">
        <v>457</v>
      </c>
      <c r="E617" s="126">
        <v>0.15</v>
      </c>
    </row>
    <row r="618" spans="1:5">
      <c r="A618" t="s">
        <v>37</v>
      </c>
      <c r="B618" s="127" t="str">
        <f>"Gemeinde"&amp;_xlfn.XLOOKUP(A618,Auswahlliste!E:E,Auswahlliste!D:D,FALSE,FALSE)</f>
        <v>Gemeinde65</v>
      </c>
      <c r="C618" s="129" t="s">
        <v>342</v>
      </c>
      <c r="D618" s="126" t="s">
        <v>426</v>
      </c>
      <c r="E618" s="126">
        <v>0.1</v>
      </c>
    </row>
    <row r="619" spans="1:5">
      <c r="A619" t="s">
        <v>37</v>
      </c>
      <c r="B619" s="127" t="str">
        <f>"Gemeinde"&amp;_xlfn.XLOOKUP(A619,Auswahlliste!E:E,Auswahlliste!D:D,FALSE,FALSE)</f>
        <v>Gemeinde65</v>
      </c>
      <c r="C619" s="129" t="s">
        <v>394</v>
      </c>
      <c r="D619" s="126" t="s">
        <v>477</v>
      </c>
      <c r="E619" s="126">
        <v>0.15</v>
      </c>
    </row>
    <row r="620" spans="1:5">
      <c r="A620" t="s">
        <v>38</v>
      </c>
      <c r="B620" s="127" t="str">
        <f>"Gemeinde"&amp;_xlfn.XLOOKUP(A620,Auswahlliste!E:E,Auswahlliste!D:D,FALSE,FALSE)</f>
        <v>Gemeinde66</v>
      </c>
      <c r="C620" s="133" t="s">
        <v>196</v>
      </c>
      <c r="D620" s="136" t="s">
        <v>297</v>
      </c>
      <c r="E620" s="136">
        <v>0.15</v>
      </c>
    </row>
    <row r="621" spans="1:5">
      <c r="A621" t="s">
        <v>38</v>
      </c>
      <c r="B621" s="127" t="str">
        <f>"Gemeinde"&amp;_xlfn.XLOOKUP(A621,Auswahlliste!E:E,Auswahlliste!D:D,FALSE,FALSE)</f>
        <v>Gemeinde66</v>
      </c>
      <c r="C621" s="129" t="s">
        <v>197</v>
      </c>
      <c r="D621" s="126" t="s">
        <v>346</v>
      </c>
      <c r="E621" s="126">
        <v>0.15</v>
      </c>
    </row>
    <row r="622" spans="1:5">
      <c r="A622" t="s">
        <v>38</v>
      </c>
      <c r="B622" s="127" t="str">
        <f>"Gemeinde"&amp;_xlfn.XLOOKUP(A622,Auswahlliste!E:E,Auswahlliste!D:D,FALSE,FALSE)</f>
        <v>Gemeinde66</v>
      </c>
      <c r="C622" s="129" t="s">
        <v>308</v>
      </c>
      <c r="D622" s="126" t="s">
        <v>448</v>
      </c>
      <c r="E622" s="136">
        <v>0</v>
      </c>
    </row>
    <row r="623" spans="1:5">
      <c r="A623" t="s">
        <v>38</v>
      </c>
      <c r="B623" s="127" t="str">
        <f>"Gemeinde"&amp;_xlfn.XLOOKUP(A623,Auswahlliste!E:E,Auswahlliste!D:D,FALSE,FALSE)</f>
        <v>Gemeinde66</v>
      </c>
      <c r="C623" s="129" t="s">
        <v>310</v>
      </c>
      <c r="D623" s="126" t="s">
        <v>382</v>
      </c>
      <c r="E623" s="126">
        <v>0.15</v>
      </c>
    </row>
    <row r="624" spans="1:5">
      <c r="A624" t="s">
        <v>38</v>
      </c>
      <c r="B624" s="127" t="str">
        <f>"Gemeinde"&amp;_xlfn.XLOOKUP(A624,Auswahlliste!E:E,Auswahlliste!D:D,FALSE,FALSE)</f>
        <v>Gemeinde66</v>
      </c>
      <c r="C624" s="129" t="s">
        <v>15</v>
      </c>
      <c r="D624" s="126" t="s">
        <v>449</v>
      </c>
      <c r="E624" s="136">
        <v>0.15</v>
      </c>
    </row>
    <row r="625" spans="1:5">
      <c r="A625" t="s">
        <v>38</v>
      </c>
      <c r="B625" s="127" t="str">
        <f>"Gemeinde"&amp;_xlfn.XLOOKUP(A625,Auswahlliste!E:E,Auswahlliste!D:D,FALSE,FALSE)</f>
        <v>Gemeinde66</v>
      </c>
      <c r="C625" s="129" t="s">
        <v>394</v>
      </c>
      <c r="D625" s="126" t="s">
        <v>395</v>
      </c>
      <c r="E625" s="136">
        <v>0.15</v>
      </c>
    </row>
    <row r="626" spans="1:5">
      <c r="A626" t="s">
        <v>38</v>
      </c>
      <c r="B626" s="127" t="str">
        <f>"Gemeinde"&amp;_xlfn.XLOOKUP(A626,Auswahlliste!E:E,Auswahlliste!D:D,FALSE,FALSE)</f>
        <v>Gemeinde66</v>
      </c>
      <c r="C626" s="129" t="s">
        <v>450</v>
      </c>
      <c r="D626" s="126" t="s">
        <v>322</v>
      </c>
      <c r="E626" s="126">
        <v>0.15</v>
      </c>
    </row>
    <row r="627" spans="1:5">
      <c r="A627" t="s">
        <v>38</v>
      </c>
      <c r="B627" s="127" t="str">
        <f>"Gemeinde"&amp;_xlfn.XLOOKUP(A627,Auswahlliste!E:E,Auswahlliste!D:D,FALSE,FALSE)</f>
        <v>Gemeinde66</v>
      </c>
      <c r="C627" s="129" t="s">
        <v>439</v>
      </c>
      <c r="D627" s="126" t="s">
        <v>375</v>
      </c>
      <c r="E627" s="134">
        <v>0.1</v>
      </c>
    </row>
    <row r="628" spans="1:5">
      <c r="A628" t="s">
        <v>38</v>
      </c>
      <c r="B628" s="127" t="str">
        <f>"Gemeinde"&amp;_xlfn.XLOOKUP(A628,Auswahlliste!E:E,Auswahlliste!D:D,FALSE,FALSE)</f>
        <v>Gemeinde66</v>
      </c>
      <c r="C628" s="129" t="s">
        <v>435</v>
      </c>
      <c r="D628" s="126" t="s">
        <v>367</v>
      </c>
      <c r="E628" s="126">
        <v>0.1</v>
      </c>
    </row>
    <row r="629" spans="1:5">
      <c r="A629" t="s">
        <v>38</v>
      </c>
      <c r="B629" s="127" t="str">
        <f>"Gemeinde"&amp;_xlfn.XLOOKUP(A629,Auswahlliste!E:E,Auswahlliste!D:D,FALSE,FALSE)</f>
        <v>Gemeinde66</v>
      </c>
      <c r="C629" s="133" t="s">
        <v>189</v>
      </c>
      <c r="D629" s="136" t="s">
        <v>326</v>
      </c>
      <c r="E629" s="136">
        <v>0.1</v>
      </c>
    </row>
    <row r="630" spans="1:5">
      <c r="A630" t="s">
        <v>38</v>
      </c>
      <c r="B630" s="127" t="str">
        <f>"Gemeinde"&amp;_xlfn.XLOOKUP(A630,Auswahlliste!E:E,Auswahlliste!D:D,FALSE,FALSE)</f>
        <v>Gemeinde66</v>
      </c>
      <c r="C630" s="129" t="s">
        <v>393</v>
      </c>
      <c r="D630" s="126" t="s">
        <v>451</v>
      </c>
      <c r="E630" s="126">
        <v>0.1</v>
      </c>
    </row>
    <row r="631" spans="1:5">
      <c r="A631" t="s">
        <v>76</v>
      </c>
      <c r="B631" s="127" t="str">
        <f>"Gemeinde"&amp;_xlfn.XLOOKUP(A631,Auswahlliste!E:E,Auswahlliste!D:D,FALSE,FALSE)</f>
        <v>Gemeinde67</v>
      </c>
      <c r="C631" s="129" t="s">
        <v>439</v>
      </c>
      <c r="D631" s="126" t="s">
        <v>375</v>
      </c>
      <c r="E631" s="126">
        <v>0.3</v>
      </c>
    </row>
    <row r="632" spans="1:5">
      <c r="A632" t="s">
        <v>76</v>
      </c>
      <c r="B632" s="127" t="str">
        <f>"Gemeinde"&amp;_xlfn.XLOOKUP(A632,Auswahlliste!E:E,Auswahlliste!D:D,FALSE,FALSE)</f>
        <v>Gemeinde67</v>
      </c>
      <c r="C632" s="129" t="s">
        <v>435</v>
      </c>
      <c r="D632" s="126" t="s">
        <v>367</v>
      </c>
      <c r="E632" s="126">
        <v>0.45</v>
      </c>
    </row>
    <row r="633" spans="1:5">
      <c r="A633" t="s">
        <v>76</v>
      </c>
      <c r="B633" s="127" t="str">
        <f>"Gemeinde"&amp;_xlfn.XLOOKUP(A633,Auswahlliste!E:E,Auswahlliste!D:D,FALSE,FALSE)</f>
        <v>Gemeinde67</v>
      </c>
      <c r="C633" s="129" t="s">
        <v>189</v>
      </c>
      <c r="D633" s="126" t="s">
        <v>326</v>
      </c>
      <c r="E633" s="126">
        <v>0.35</v>
      </c>
    </row>
    <row r="634" spans="1:5">
      <c r="A634" t="s">
        <v>76</v>
      </c>
      <c r="B634" s="127" t="str">
        <f>"Gemeinde"&amp;_xlfn.XLOOKUP(A634,Auswahlliste!E:E,Auswahlliste!D:D,FALSE,FALSE)</f>
        <v>Gemeinde67</v>
      </c>
      <c r="C634" s="129" t="s">
        <v>190</v>
      </c>
      <c r="D634" s="126" t="s">
        <v>355</v>
      </c>
      <c r="E634" s="126">
        <v>0.85</v>
      </c>
    </row>
    <row r="635" spans="1:5">
      <c r="A635" t="s">
        <v>76</v>
      </c>
      <c r="B635" s="127" t="str">
        <f>"Gemeinde"&amp;_xlfn.XLOOKUP(A635,Auswahlliste!E:E,Auswahlliste!D:D,FALSE,FALSE)</f>
        <v>Gemeinde67</v>
      </c>
      <c r="C635" s="129" t="s">
        <v>473</v>
      </c>
      <c r="D635" s="126" t="s">
        <v>332</v>
      </c>
      <c r="E635" s="126">
        <v>0.7</v>
      </c>
    </row>
    <row r="636" spans="1:5">
      <c r="A636" t="s">
        <v>76</v>
      </c>
      <c r="B636" s="127" t="str">
        <f>"Gemeinde"&amp;_xlfn.XLOOKUP(A636,Auswahlliste!E:E,Auswahlliste!D:D,FALSE,FALSE)</f>
        <v>Gemeinde67</v>
      </c>
      <c r="C636" s="129" t="s">
        <v>474</v>
      </c>
      <c r="D636" s="126" t="s">
        <v>334</v>
      </c>
      <c r="E636" s="126">
        <v>0.75</v>
      </c>
    </row>
    <row r="637" spans="1:5">
      <c r="A637" t="s">
        <v>76</v>
      </c>
      <c r="B637" s="127" t="str">
        <f>"Gemeinde"&amp;_xlfn.XLOOKUP(A637,Auswahlliste!E:E,Auswahlliste!D:D,FALSE,FALSE)</f>
        <v>Gemeinde67</v>
      </c>
      <c r="C637" s="129" t="s">
        <v>475</v>
      </c>
      <c r="D637" s="126" t="s">
        <v>361</v>
      </c>
      <c r="E637" s="126">
        <v>0.85</v>
      </c>
    </row>
    <row r="638" spans="1:5">
      <c r="A638" t="s">
        <v>76</v>
      </c>
      <c r="B638" s="127" t="str">
        <f>"Gemeinde"&amp;_xlfn.XLOOKUP(A638,Auswahlliste!E:E,Auswahlliste!D:D,FALSE,FALSE)</f>
        <v>Gemeinde67</v>
      </c>
      <c r="C638" s="129" t="s">
        <v>424</v>
      </c>
      <c r="D638" s="126" t="s">
        <v>425</v>
      </c>
      <c r="E638" s="126">
        <v>0.95</v>
      </c>
    </row>
    <row r="639" spans="1:5">
      <c r="A639" t="s">
        <v>76</v>
      </c>
      <c r="B639" s="127" t="str">
        <f>"Gemeinde"&amp;_xlfn.XLOOKUP(A639,Auswahlliste!E:E,Auswahlliste!D:D,FALSE,FALSE)</f>
        <v>Gemeinde67</v>
      </c>
      <c r="C639" s="129" t="s">
        <v>397</v>
      </c>
      <c r="D639" s="126" t="s">
        <v>309</v>
      </c>
      <c r="E639" s="126">
        <v>0.9</v>
      </c>
    </row>
    <row r="640" spans="1:5">
      <c r="A640" t="s">
        <v>76</v>
      </c>
      <c r="B640" s="127" t="str">
        <f>"Gemeinde"&amp;_xlfn.XLOOKUP(A640,Auswahlliste!E:E,Auswahlliste!D:D,FALSE,FALSE)</f>
        <v>Gemeinde67</v>
      </c>
      <c r="C640" s="133" t="s">
        <v>340</v>
      </c>
      <c r="D640" s="136" t="s">
        <v>341</v>
      </c>
      <c r="E640" s="136">
        <v>0.9</v>
      </c>
    </row>
    <row r="641" spans="1:5">
      <c r="A641" t="s">
        <v>76</v>
      </c>
      <c r="B641" s="127" t="str">
        <f>"Gemeinde"&amp;_xlfn.XLOOKUP(A641,Auswahlliste!E:E,Auswahlliste!D:D,FALSE,FALSE)</f>
        <v>Gemeinde67</v>
      </c>
      <c r="C641" s="129" t="s">
        <v>343</v>
      </c>
      <c r="D641" s="126" t="s">
        <v>344</v>
      </c>
      <c r="E641" s="126">
        <v>0.85</v>
      </c>
    </row>
    <row r="642" spans="1:5">
      <c r="A642" t="s">
        <v>76</v>
      </c>
      <c r="B642" s="127" t="str">
        <f>"Gemeinde"&amp;_xlfn.XLOOKUP(A642,Auswahlliste!E:E,Auswahlliste!D:D,FALSE,FALSE)</f>
        <v>Gemeinde67</v>
      </c>
      <c r="C642" s="129" t="s">
        <v>15</v>
      </c>
      <c r="D642" s="126" t="s">
        <v>386</v>
      </c>
      <c r="E642" s="126">
        <v>0.4</v>
      </c>
    </row>
    <row r="643" spans="1:5">
      <c r="A643" t="s">
        <v>76</v>
      </c>
      <c r="B643" s="127" t="str">
        <f>"Gemeinde"&amp;_xlfn.XLOOKUP(A643,Auswahlliste!E:E,Auswahlliste!D:D,FALSE,FALSE)</f>
        <v>Gemeinde67</v>
      </c>
      <c r="C643" s="129" t="s">
        <v>444</v>
      </c>
      <c r="D643" s="126" t="s">
        <v>445</v>
      </c>
      <c r="E643" s="126">
        <v>0.15</v>
      </c>
    </row>
    <row r="644" spans="1:5">
      <c r="A644" t="s">
        <v>92</v>
      </c>
      <c r="B644" s="127" t="str">
        <f>"Gemeinde"&amp;_xlfn.XLOOKUP(A644,Auswahlliste!E:E,Auswahlliste!D:D,FALSE,FALSE)</f>
        <v>Gemeinde68</v>
      </c>
      <c r="C644" s="129" t="s">
        <v>369</v>
      </c>
      <c r="D644" s="127" t="s">
        <v>375</v>
      </c>
      <c r="E644" s="126">
        <v>0.15</v>
      </c>
    </row>
    <row r="645" spans="1:5">
      <c r="A645" t="s">
        <v>92</v>
      </c>
      <c r="B645" s="127" t="str">
        <f>"Gemeinde"&amp;_xlfn.XLOOKUP(A645,Auswahlliste!E:E,Auswahlliste!D:D,FALSE,FALSE)</f>
        <v>Gemeinde68</v>
      </c>
      <c r="C645" s="129" t="s">
        <v>356</v>
      </c>
      <c r="D645" s="127" t="s">
        <v>376</v>
      </c>
      <c r="E645" s="126">
        <v>0.15</v>
      </c>
    </row>
    <row r="646" spans="1:5">
      <c r="A646" t="s">
        <v>92</v>
      </c>
      <c r="B646" s="127" t="str">
        <f>"Gemeinde"&amp;_xlfn.XLOOKUP(A646,Auswahlliste!E:E,Auswahlliste!D:D,FALSE,FALSE)</f>
        <v>Gemeinde68</v>
      </c>
      <c r="C646" s="129" t="s">
        <v>366</v>
      </c>
      <c r="D646" s="127" t="s">
        <v>367</v>
      </c>
      <c r="E646" s="126">
        <v>0.2</v>
      </c>
    </row>
    <row r="647" spans="1:5">
      <c r="A647" t="s">
        <v>92</v>
      </c>
      <c r="B647" s="127" t="str">
        <f>"Gemeinde"&amp;_xlfn.XLOOKUP(A647,Auswahlliste!E:E,Auswahlliste!D:D,FALSE,FALSE)</f>
        <v>Gemeinde68</v>
      </c>
      <c r="C647" s="129" t="s">
        <v>377</v>
      </c>
      <c r="D647" s="127" t="s">
        <v>326</v>
      </c>
      <c r="E647" s="126">
        <v>0.2</v>
      </c>
    </row>
    <row r="648" spans="1:5">
      <c r="A648" t="s">
        <v>92</v>
      </c>
      <c r="B648" s="127" t="str">
        <f>"Gemeinde"&amp;_xlfn.XLOOKUP(A648,Auswahlliste!E:E,Auswahlliste!D:D,FALSE,FALSE)</f>
        <v>Gemeinde68</v>
      </c>
      <c r="C648" s="129" t="s">
        <v>378</v>
      </c>
      <c r="D648" s="127" t="s">
        <v>355</v>
      </c>
      <c r="E648" s="126">
        <v>0.25</v>
      </c>
    </row>
    <row r="649" spans="1:5">
      <c r="A649" t="s">
        <v>92</v>
      </c>
      <c r="B649" s="127" t="str">
        <f>"Gemeinde"&amp;_xlfn.XLOOKUP(A649,Auswahlliste!E:E,Auswahlliste!D:D,FALSE,FALSE)</f>
        <v>Gemeinde68</v>
      </c>
      <c r="C649" s="133" t="s">
        <v>379</v>
      </c>
      <c r="D649" s="31" t="s">
        <v>332</v>
      </c>
      <c r="E649" s="136">
        <v>0.25</v>
      </c>
    </row>
    <row r="650" spans="1:5">
      <c r="A650" t="s">
        <v>92</v>
      </c>
      <c r="B650" s="127" t="str">
        <f>"Gemeinde"&amp;_xlfn.XLOOKUP(A650,Auswahlliste!E:E,Auswahlliste!D:D,FALSE,FALSE)</f>
        <v>Gemeinde68</v>
      </c>
      <c r="C650" s="129" t="s">
        <v>380</v>
      </c>
      <c r="D650" s="127" t="s">
        <v>334</v>
      </c>
      <c r="E650" s="126">
        <v>0.25</v>
      </c>
    </row>
    <row r="651" spans="1:5">
      <c r="A651" t="s">
        <v>92</v>
      </c>
      <c r="B651" s="127" t="str">
        <f>"Gemeinde"&amp;_xlfn.XLOOKUP(A651,Auswahlliste!E:E,Auswahlliste!D:D,FALSE,FALSE)</f>
        <v>Gemeinde68</v>
      </c>
      <c r="C651" s="133" t="s">
        <v>381</v>
      </c>
      <c r="D651" s="31" t="s">
        <v>361</v>
      </c>
      <c r="E651" s="136">
        <v>0.3</v>
      </c>
    </row>
    <row r="652" spans="1:5">
      <c r="A652" t="s">
        <v>92</v>
      </c>
      <c r="B652" s="127" t="str">
        <f>"Gemeinde"&amp;_xlfn.XLOOKUP(A652,Auswahlliste!E:E,Auswahlliste!D:D,FALSE,FALSE)</f>
        <v>Gemeinde68</v>
      </c>
      <c r="C652" s="129" t="s">
        <v>310</v>
      </c>
      <c r="D652" s="127" t="s">
        <v>382</v>
      </c>
      <c r="E652" s="126">
        <v>0.3</v>
      </c>
    </row>
    <row r="653" spans="1:5">
      <c r="A653" t="s">
        <v>92</v>
      </c>
      <c r="B653" s="127" t="str">
        <f>"Gemeinde"&amp;_xlfn.XLOOKUP(A653,Auswahlliste!E:E,Auswahlliste!D:D,FALSE,FALSE)</f>
        <v>Gemeinde68</v>
      </c>
      <c r="C653" s="129" t="s">
        <v>340</v>
      </c>
      <c r="D653" s="127" t="s">
        <v>383</v>
      </c>
      <c r="E653" s="126">
        <v>0.4</v>
      </c>
    </row>
    <row r="654" spans="1:5">
      <c r="A654" t="s">
        <v>92</v>
      </c>
      <c r="B654" s="127" t="str">
        <f>"Gemeinde"&amp;_xlfn.XLOOKUP(A654,Auswahlliste!E:E,Auswahlliste!D:D,FALSE,FALSE)</f>
        <v>Gemeinde68</v>
      </c>
      <c r="C654" s="129" t="s">
        <v>343</v>
      </c>
      <c r="D654" s="127" t="s">
        <v>384</v>
      </c>
      <c r="E654" s="126">
        <v>0.4</v>
      </c>
    </row>
    <row r="655" spans="1:5">
      <c r="A655" t="s">
        <v>92</v>
      </c>
      <c r="B655" s="127" t="str">
        <f>"Gemeinde"&amp;_xlfn.XLOOKUP(A655,Auswahlliste!E:E,Auswahlliste!D:D,FALSE,FALSE)</f>
        <v>Gemeinde68</v>
      </c>
      <c r="C655" s="129" t="s">
        <v>343</v>
      </c>
      <c r="D655" s="127" t="s">
        <v>385</v>
      </c>
      <c r="E655" s="126">
        <v>0.3</v>
      </c>
    </row>
    <row r="656" spans="1:5">
      <c r="A656" t="s">
        <v>92</v>
      </c>
      <c r="B656" s="127" t="str">
        <f>"Gemeinde"&amp;_xlfn.XLOOKUP(A656,Auswahlliste!E:E,Auswahlliste!D:D,FALSE,FALSE)</f>
        <v>Gemeinde68</v>
      </c>
      <c r="C656" s="129" t="s">
        <v>15</v>
      </c>
      <c r="D656" s="127" t="s">
        <v>386</v>
      </c>
      <c r="E656" s="126">
        <v>0.2</v>
      </c>
    </row>
    <row r="657" spans="1:5">
      <c r="A657" t="s">
        <v>92</v>
      </c>
      <c r="B657" s="127" t="str">
        <f>"Gemeinde"&amp;_xlfn.XLOOKUP(A657,Auswahlliste!E:E,Auswahlliste!D:D,FALSE,FALSE)</f>
        <v>Gemeinde68</v>
      </c>
      <c r="C657" s="129" t="s">
        <v>387</v>
      </c>
      <c r="D657" s="127" t="s">
        <v>386</v>
      </c>
      <c r="E657" s="126">
        <v>0.1</v>
      </c>
    </row>
    <row r="658" spans="1:5">
      <c r="A658" t="s">
        <v>63</v>
      </c>
      <c r="B658" s="127" t="str">
        <f>"Gemeinde"&amp;_xlfn.XLOOKUP(A658,Auswahlliste!E:E,Auswahlliste!D:D,FALSE,FALSE)</f>
        <v>Gemeinde69</v>
      </c>
      <c r="C658" s="129" t="s">
        <v>439</v>
      </c>
      <c r="D658" s="126" t="s">
        <v>375</v>
      </c>
      <c r="E658" s="126">
        <v>0.46</v>
      </c>
    </row>
    <row r="659" spans="1:5">
      <c r="A659" t="s">
        <v>63</v>
      </c>
      <c r="B659" s="127" t="str">
        <f>"Gemeinde"&amp;_xlfn.XLOOKUP(A659,Auswahlliste!E:E,Auswahlliste!D:D,FALSE,FALSE)</f>
        <v>Gemeinde69</v>
      </c>
      <c r="C659" s="129" t="s">
        <v>435</v>
      </c>
      <c r="D659" s="126" t="s">
        <v>367</v>
      </c>
      <c r="E659" s="126">
        <v>0.55000000000000004</v>
      </c>
    </row>
    <row r="660" spans="1:5">
      <c r="A660" t="s">
        <v>63</v>
      </c>
      <c r="B660" s="127" t="str">
        <f>"Gemeinde"&amp;_xlfn.XLOOKUP(A660,Auswahlliste!E:E,Auswahlliste!D:D,FALSE,FALSE)</f>
        <v>Gemeinde69</v>
      </c>
      <c r="C660" s="133" t="s">
        <v>189</v>
      </c>
      <c r="D660" s="136" t="s">
        <v>326</v>
      </c>
      <c r="E660" s="136">
        <v>0.69</v>
      </c>
    </row>
    <row r="661" spans="1:5">
      <c r="A661" t="s">
        <v>63</v>
      </c>
      <c r="B661" s="127" t="str">
        <f>"Gemeinde"&amp;_xlfn.XLOOKUP(A661,Auswahlliste!E:E,Auswahlliste!D:D,FALSE,FALSE)</f>
        <v>Gemeinde69</v>
      </c>
      <c r="C661" s="129" t="s">
        <v>379</v>
      </c>
      <c r="D661" s="126" t="s">
        <v>332</v>
      </c>
      <c r="E661" s="126">
        <v>0.55000000000000004</v>
      </c>
    </row>
    <row r="662" spans="1:5">
      <c r="A662" t="s">
        <v>63</v>
      </c>
      <c r="B662" s="127" t="str">
        <f>"Gemeinde"&amp;_xlfn.XLOOKUP(A662,Auswahlliste!E:E,Auswahlliste!D:D,FALSE,FALSE)</f>
        <v>Gemeinde69</v>
      </c>
      <c r="C662" s="129" t="s">
        <v>380</v>
      </c>
      <c r="D662" s="126" t="s">
        <v>334</v>
      </c>
      <c r="E662" s="126">
        <v>0.69</v>
      </c>
    </row>
    <row r="663" spans="1:5">
      <c r="A663" t="s">
        <v>63</v>
      </c>
      <c r="B663" s="127" t="str">
        <f>"Gemeinde"&amp;_xlfn.XLOOKUP(A663,Auswahlliste!E:E,Auswahlliste!D:D,FALSE,FALSE)</f>
        <v>Gemeinde69</v>
      </c>
      <c r="C663" s="129" t="s">
        <v>433</v>
      </c>
      <c r="D663" s="126" t="s">
        <v>434</v>
      </c>
      <c r="E663" s="126">
        <v>1</v>
      </c>
    </row>
    <row r="664" spans="1:5">
      <c r="A664" t="s">
        <v>63</v>
      </c>
      <c r="B664" s="127" t="str">
        <f>"Gemeinde"&amp;_xlfn.XLOOKUP(A664,Auswahlliste!E:E,Auswahlliste!D:D,FALSE,FALSE)</f>
        <v>Gemeinde69</v>
      </c>
      <c r="C664" s="129" t="s">
        <v>343</v>
      </c>
      <c r="D664" s="126" t="s">
        <v>344</v>
      </c>
      <c r="E664" s="126">
        <v>0.55000000000000004</v>
      </c>
    </row>
    <row r="665" spans="1:5">
      <c r="A665" t="s">
        <v>68</v>
      </c>
      <c r="B665" s="127" t="str">
        <f>"Gemeinde"&amp;_xlfn.XLOOKUP(A665,Auswahlliste!E:E,Auswahlliste!D:D,FALSE,FALSE)</f>
        <v>Gemeinde71</v>
      </c>
      <c r="C665" s="129" t="s">
        <v>435</v>
      </c>
      <c r="D665" s="126" t="s">
        <v>567</v>
      </c>
      <c r="E665" s="126">
        <v>0.3</v>
      </c>
    </row>
    <row r="666" spans="1:5">
      <c r="A666" t="s">
        <v>68</v>
      </c>
      <c r="B666" s="127" t="str">
        <f>"Gemeinde"&amp;_xlfn.XLOOKUP(A666,Auswahlliste!E:E,Auswahlliste!D:D,FALSE,FALSE)</f>
        <v>Gemeinde71</v>
      </c>
      <c r="C666" s="129" t="s">
        <v>189</v>
      </c>
      <c r="D666" s="126" t="s">
        <v>568</v>
      </c>
      <c r="E666" s="126">
        <v>0.35</v>
      </c>
    </row>
    <row r="667" spans="1:5">
      <c r="A667" t="s">
        <v>68</v>
      </c>
      <c r="B667" s="127" t="str">
        <f>"Gemeinde"&amp;_xlfn.XLOOKUP(A667,Auswahlliste!E:E,Auswahlliste!D:D,FALSE,FALSE)</f>
        <v>Gemeinde71</v>
      </c>
      <c r="C667" s="129" t="s">
        <v>190</v>
      </c>
      <c r="D667" s="126" t="s">
        <v>569</v>
      </c>
      <c r="E667" s="126">
        <v>0.4</v>
      </c>
    </row>
    <row r="668" spans="1:5">
      <c r="A668" t="s">
        <v>68</v>
      </c>
      <c r="B668" s="127" t="str">
        <f>"Gemeinde"&amp;_xlfn.XLOOKUP(A668,Auswahlliste!E:E,Auswahlliste!D:D,FALSE,FALSE)</f>
        <v>Gemeinde71</v>
      </c>
      <c r="C668" s="129" t="s">
        <v>473</v>
      </c>
      <c r="D668" s="126" t="s">
        <v>570</v>
      </c>
      <c r="E668" s="126">
        <v>0.4</v>
      </c>
    </row>
    <row r="669" spans="1:5">
      <c r="A669" t="s">
        <v>68</v>
      </c>
      <c r="B669" s="127" t="str">
        <f>"Gemeinde"&amp;_xlfn.XLOOKUP(A669,Auswahlliste!E:E,Auswahlliste!D:D,FALSE,FALSE)</f>
        <v>Gemeinde71</v>
      </c>
      <c r="C669" s="129" t="s">
        <v>474</v>
      </c>
      <c r="D669" s="126" t="s">
        <v>571</v>
      </c>
      <c r="E669" s="126">
        <v>0.45</v>
      </c>
    </row>
    <row r="670" spans="1:5">
      <c r="A670" t="s">
        <v>68</v>
      </c>
      <c r="B670" s="127" t="str">
        <f>"Gemeinde"&amp;_xlfn.XLOOKUP(A670,Auswahlliste!E:E,Auswahlliste!D:D,FALSE,FALSE)</f>
        <v>Gemeinde71</v>
      </c>
      <c r="C670" s="129" t="s">
        <v>13</v>
      </c>
      <c r="D670" s="126" t="s">
        <v>572</v>
      </c>
      <c r="E670" s="126">
        <v>0.45</v>
      </c>
    </row>
    <row r="671" spans="1:5">
      <c r="A671" t="s">
        <v>68</v>
      </c>
      <c r="B671" s="127" t="str">
        <f>"Gemeinde"&amp;_xlfn.XLOOKUP(A671,Auswahlliste!E:E,Auswahlliste!D:D,FALSE,FALSE)</f>
        <v>Gemeinde71</v>
      </c>
      <c r="C671" s="129" t="s">
        <v>14</v>
      </c>
      <c r="D671" s="126" t="s">
        <v>573</v>
      </c>
      <c r="E671" s="126">
        <v>0.5</v>
      </c>
    </row>
    <row r="672" spans="1:5">
      <c r="A672" t="s">
        <v>68</v>
      </c>
      <c r="B672" s="127" t="str">
        <f>"Gemeinde"&amp;_xlfn.XLOOKUP(A672,Auswahlliste!E:E,Auswahlliste!D:D,FALSE,FALSE)</f>
        <v>Gemeinde71</v>
      </c>
      <c r="C672" s="129" t="s">
        <v>313</v>
      </c>
      <c r="D672" s="126" t="s">
        <v>574</v>
      </c>
      <c r="E672" s="126">
        <v>0.6</v>
      </c>
    </row>
    <row r="673" spans="1:5">
      <c r="A673" t="s">
        <v>68</v>
      </c>
      <c r="B673" s="127" t="str">
        <f>"Gemeinde"&amp;_xlfn.XLOOKUP(A673,Auswahlliste!E:E,Auswahlliste!D:D,FALSE,FALSE)</f>
        <v>Gemeinde71</v>
      </c>
      <c r="C673" s="129" t="s">
        <v>550</v>
      </c>
      <c r="D673" s="126" t="s">
        <v>575</v>
      </c>
      <c r="E673" s="126">
        <v>0.65</v>
      </c>
    </row>
    <row r="674" spans="1:5">
      <c r="A674" t="s">
        <v>68</v>
      </c>
      <c r="B674" s="127" t="str">
        <f>"Gemeinde"&amp;_xlfn.XLOOKUP(A674,Auswahlliste!E:E,Auswahlliste!D:D,FALSE,FALSE)</f>
        <v>Gemeinde71</v>
      </c>
      <c r="C674" s="129" t="s">
        <v>585</v>
      </c>
      <c r="D674" s="126" t="s">
        <v>576</v>
      </c>
      <c r="E674" s="126">
        <v>0.65</v>
      </c>
    </row>
    <row r="675" spans="1:5">
      <c r="A675" t="s">
        <v>68</v>
      </c>
      <c r="B675" s="127" t="str">
        <f>"Gemeinde"&amp;_xlfn.XLOOKUP(A675,Auswahlliste!E:E,Auswahlliste!D:D,FALSE,FALSE)</f>
        <v>Gemeinde71</v>
      </c>
      <c r="C675" s="129" t="s">
        <v>340</v>
      </c>
      <c r="D675" s="126" t="s">
        <v>577</v>
      </c>
      <c r="E675" s="126">
        <v>0.65</v>
      </c>
    </row>
    <row r="676" spans="1:5">
      <c r="A676" t="s">
        <v>68</v>
      </c>
      <c r="B676" s="127" t="str">
        <f>"Gemeinde"&amp;_xlfn.XLOOKUP(A676,Auswahlliste!E:E,Auswahlliste!D:D,FALSE,FALSE)</f>
        <v>Gemeinde71</v>
      </c>
      <c r="C676" s="129" t="s">
        <v>616</v>
      </c>
      <c r="D676" s="126" t="s">
        <v>578</v>
      </c>
      <c r="E676" s="126">
        <v>0.5</v>
      </c>
    </row>
    <row r="677" spans="1:5">
      <c r="A677" t="s">
        <v>68</v>
      </c>
      <c r="B677" s="127" t="str">
        <f>"Gemeinde"&amp;_xlfn.XLOOKUP(A677,Auswahlliste!E:E,Auswahlliste!D:D,FALSE,FALSE)</f>
        <v>Gemeinde71</v>
      </c>
      <c r="C677" s="129" t="s">
        <v>617</v>
      </c>
      <c r="D677" s="126" t="s">
        <v>579</v>
      </c>
      <c r="E677" s="126">
        <v>0.35</v>
      </c>
    </row>
    <row r="678" spans="1:5">
      <c r="A678" t="s">
        <v>68</v>
      </c>
      <c r="B678" s="127" t="str">
        <f>"Gemeinde"&amp;_xlfn.XLOOKUP(A678,Auswahlliste!E:E,Auswahlliste!D:D,FALSE,FALSE)</f>
        <v>Gemeinde71</v>
      </c>
      <c r="C678" s="133" t="s">
        <v>618</v>
      </c>
      <c r="D678" s="136" t="s">
        <v>580</v>
      </c>
      <c r="E678" s="136">
        <v>0.2</v>
      </c>
    </row>
    <row r="679" spans="1:5">
      <c r="A679" t="s">
        <v>68</v>
      </c>
      <c r="B679" s="127" t="str">
        <f>"Gemeinde"&amp;_xlfn.XLOOKUP(A679,Auswahlliste!E:E,Auswahlliste!D:D,FALSE,FALSE)</f>
        <v>Gemeinde71</v>
      </c>
      <c r="C679" s="129" t="s">
        <v>619</v>
      </c>
      <c r="D679" s="126" t="s">
        <v>581</v>
      </c>
      <c r="E679" s="126">
        <v>0.2</v>
      </c>
    </row>
    <row r="680" spans="1:5">
      <c r="A680" t="s">
        <v>68</v>
      </c>
      <c r="B680" s="127" t="str">
        <f>"Gemeinde"&amp;_xlfn.XLOOKUP(A680,Auswahlliste!E:E,Auswahlliste!D:D,FALSE,FALSE)</f>
        <v>Gemeinde71</v>
      </c>
      <c r="C680" s="129" t="s">
        <v>620</v>
      </c>
      <c r="D680" s="126" t="s">
        <v>582</v>
      </c>
      <c r="E680" s="126">
        <v>0.1</v>
      </c>
    </row>
    <row r="681" spans="1:5">
      <c r="A681" t="s">
        <v>68</v>
      </c>
      <c r="B681" s="127" t="str">
        <f>"Gemeinde"&amp;_xlfn.XLOOKUP(A681,Auswahlliste!E:E,Auswahlliste!D:D,FALSE,FALSE)</f>
        <v>Gemeinde71</v>
      </c>
      <c r="C681" s="129" t="s">
        <v>621</v>
      </c>
      <c r="D681" s="126" t="s">
        <v>583</v>
      </c>
      <c r="E681" s="126">
        <v>0.1</v>
      </c>
    </row>
    <row r="682" spans="1:5">
      <c r="A682" t="s">
        <v>68</v>
      </c>
      <c r="B682" s="127" t="str">
        <f>"Gemeinde"&amp;_xlfn.XLOOKUP(A682,Auswahlliste!E:E,Auswahlliste!D:D,FALSE,FALSE)</f>
        <v>Gemeinde71</v>
      </c>
      <c r="C682" s="129" t="s">
        <v>319</v>
      </c>
      <c r="D682" s="126" t="s">
        <v>584</v>
      </c>
      <c r="E682" s="126">
        <v>0.8</v>
      </c>
    </row>
    <row r="683" spans="1:5">
      <c r="A683" t="s">
        <v>61</v>
      </c>
      <c r="B683" s="127" t="str">
        <f>"Gemeinde"&amp;_xlfn.XLOOKUP(A683,Auswahlliste!E:E,Auswahlliste!D:D,FALSE,FALSE)</f>
        <v>Gemeinde72</v>
      </c>
      <c r="C683" s="129" t="s">
        <v>586</v>
      </c>
      <c r="D683" s="126" t="s">
        <v>375</v>
      </c>
      <c r="E683" s="126">
        <v>0.15</v>
      </c>
    </row>
    <row r="684" spans="1:5">
      <c r="A684" t="s">
        <v>61</v>
      </c>
      <c r="B684" s="127" t="str">
        <f>"Gemeinde"&amp;_xlfn.XLOOKUP(A684,Auswahlliste!E:E,Auswahlliste!D:D,FALSE,FALSE)</f>
        <v>Gemeinde72</v>
      </c>
      <c r="C684" s="129" t="s">
        <v>587</v>
      </c>
      <c r="D684" s="126" t="s">
        <v>367</v>
      </c>
      <c r="E684" s="126">
        <v>0.15</v>
      </c>
    </row>
    <row r="685" spans="1:5">
      <c r="A685" t="s">
        <v>61</v>
      </c>
      <c r="B685" s="127" t="str">
        <f>"Gemeinde"&amp;_xlfn.XLOOKUP(A685,Auswahlliste!E:E,Auswahlliste!D:D,FALSE,FALSE)</f>
        <v>Gemeinde72</v>
      </c>
      <c r="C685" s="129" t="s">
        <v>588</v>
      </c>
      <c r="D685" s="126" t="s">
        <v>326</v>
      </c>
      <c r="E685" s="126">
        <v>0.25</v>
      </c>
    </row>
    <row r="686" spans="1:5">
      <c r="A686" t="s">
        <v>61</v>
      </c>
      <c r="B686" s="127" t="str">
        <f>"Gemeinde"&amp;_xlfn.XLOOKUP(A686,Auswahlliste!E:E,Auswahlliste!D:D,FALSE,FALSE)</f>
        <v>Gemeinde72</v>
      </c>
      <c r="C686" s="129" t="s">
        <v>589</v>
      </c>
      <c r="D686" s="126" t="s">
        <v>355</v>
      </c>
      <c r="E686" s="126">
        <v>0.3</v>
      </c>
    </row>
    <row r="687" spans="1:5">
      <c r="A687" t="s">
        <v>61</v>
      </c>
      <c r="B687" s="127" t="str">
        <f>"Gemeinde"&amp;_xlfn.XLOOKUP(A687,Auswahlliste!E:E,Auswahlliste!D:D,FALSE,FALSE)</f>
        <v>Gemeinde72</v>
      </c>
      <c r="C687" s="129" t="s">
        <v>590</v>
      </c>
      <c r="D687" s="126" t="s">
        <v>332</v>
      </c>
      <c r="E687" s="126">
        <v>0.25</v>
      </c>
    </row>
    <row r="688" spans="1:5">
      <c r="A688" t="s">
        <v>61</v>
      </c>
      <c r="B688" s="127" t="str">
        <f>"Gemeinde"&amp;_xlfn.XLOOKUP(A688,Auswahlliste!E:E,Auswahlliste!D:D,FALSE,FALSE)</f>
        <v>Gemeinde72</v>
      </c>
      <c r="C688" s="129" t="s">
        <v>591</v>
      </c>
      <c r="D688" s="126" t="s">
        <v>334</v>
      </c>
      <c r="E688" s="126">
        <v>0.35</v>
      </c>
    </row>
    <row r="689" spans="1:5">
      <c r="A689" t="s">
        <v>61</v>
      </c>
      <c r="B689" s="127" t="str">
        <f>"Gemeinde"&amp;_xlfn.XLOOKUP(A689,Auswahlliste!E:E,Auswahlliste!D:D,FALSE,FALSE)</f>
        <v>Gemeinde72</v>
      </c>
      <c r="C689" s="129" t="s">
        <v>592</v>
      </c>
      <c r="D689" s="126" t="s">
        <v>382</v>
      </c>
      <c r="E689" s="126">
        <v>0.7</v>
      </c>
    </row>
    <row r="690" spans="1:5">
      <c r="A690" t="s">
        <v>61</v>
      </c>
      <c r="B690" s="127" t="str">
        <f>"Gemeinde"&amp;_xlfn.XLOOKUP(A690,Auswahlliste!E:E,Auswahlliste!D:D,FALSE,FALSE)</f>
        <v>Gemeinde72</v>
      </c>
      <c r="C690" s="129" t="s">
        <v>592</v>
      </c>
      <c r="D690" s="126" t="s">
        <v>531</v>
      </c>
      <c r="E690" s="126">
        <v>0.7</v>
      </c>
    </row>
    <row r="691" spans="1:5">
      <c r="A691" t="s">
        <v>61</v>
      </c>
      <c r="B691" s="127" t="str">
        <f>"Gemeinde"&amp;_xlfn.XLOOKUP(A691,Auswahlliste!E:E,Auswahlliste!D:D,FALSE,FALSE)</f>
        <v>Gemeinde72</v>
      </c>
      <c r="C691" s="129" t="s">
        <v>592</v>
      </c>
      <c r="D691" s="126" t="s">
        <v>597</v>
      </c>
      <c r="E691" s="126">
        <v>0.7</v>
      </c>
    </row>
    <row r="692" spans="1:5">
      <c r="A692" t="s">
        <v>61</v>
      </c>
      <c r="B692" s="127" t="str">
        <f>"Gemeinde"&amp;_xlfn.XLOOKUP(A692,Auswahlliste!E:E,Auswahlliste!D:D,FALSE,FALSE)</f>
        <v>Gemeinde72</v>
      </c>
      <c r="C692" s="129" t="s">
        <v>594</v>
      </c>
      <c r="D692" s="126" t="s">
        <v>297</v>
      </c>
      <c r="E692" s="126">
        <v>0.35</v>
      </c>
    </row>
    <row r="693" spans="1:5">
      <c r="A693" t="s">
        <v>61</v>
      </c>
      <c r="B693" s="127" t="str">
        <f>"Gemeinde"&amp;_xlfn.XLOOKUP(A693,Auswahlliste!E:E,Auswahlliste!D:D,FALSE,FALSE)</f>
        <v>Gemeinde72</v>
      </c>
      <c r="C693" s="129" t="s">
        <v>595</v>
      </c>
      <c r="D693" s="126" t="s">
        <v>346</v>
      </c>
      <c r="E693" s="126">
        <v>0.35</v>
      </c>
    </row>
    <row r="694" spans="1:5">
      <c r="A694" t="s">
        <v>61</v>
      </c>
      <c r="B694" s="127" t="str">
        <f>"Gemeinde"&amp;_xlfn.XLOOKUP(A694,Auswahlliste!E:E,Auswahlliste!D:D,FALSE,FALSE)</f>
        <v>Gemeinde72</v>
      </c>
      <c r="C694" s="129" t="s">
        <v>598</v>
      </c>
      <c r="D694" s="126" t="s">
        <v>599</v>
      </c>
      <c r="E694" s="126">
        <v>0.35</v>
      </c>
    </row>
    <row r="695" spans="1:5">
      <c r="A695" t="s">
        <v>61</v>
      </c>
      <c r="B695" s="127" t="str">
        <f>"Gemeinde"&amp;_xlfn.XLOOKUP(A695,Auswahlliste!E:E,Auswahlliste!D:D,FALSE,FALSE)</f>
        <v>Gemeinde72</v>
      </c>
      <c r="C695" s="133" t="s">
        <v>15</v>
      </c>
      <c r="D695" s="136" t="s">
        <v>317</v>
      </c>
      <c r="E695" s="136">
        <v>0.2</v>
      </c>
    </row>
    <row r="696" spans="1:5">
      <c r="A696" t="s">
        <v>61</v>
      </c>
      <c r="B696" s="127" t="str">
        <f>"Gemeinde"&amp;_xlfn.XLOOKUP(A696,Auswahlliste!E:E,Auswahlliste!D:D,FALSE,FALSE)</f>
        <v>Gemeinde72</v>
      </c>
      <c r="C696" s="129" t="s">
        <v>419</v>
      </c>
      <c r="D696" s="126" t="s">
        <v>477</v>
      </c>
      <c r="E696" s="126">
        <v>0.15</v>
      </c>
    </row>
    <row r="697" spans="1:5">
      <c r="A697" t="s">
        <v>61</v>
      </c>
      <c r="B697" s="127" t="str">
        <f>"Gemeinde"&amp;_xlfn.XLOOKUP(A697,Auswahlliste!E:E,Auswahlliste!D:D,FALSE,FALSE)</f>
        <v>Gemeinde72</v>
      </c>
      <c r="C697" s="129" t="s">
        <v>308</v>
      </c>
      <c r="D697" s="126" t="s">
        <v>309</v>
      </c>
      <c r="E697" s="126">
        <v>0</v>
      </c>
    </row>
    <row r="698" spans="1:5">
      <c r="A698" t="s">
        <v>61</v>
      </c>
      <c r="B698" s="127" t="str">
        <f>"Gemeinde"&amp;_xlfn.XLOOKUP(A698,Auswahlliste!E:E,Auswahlliste!D:D,FALSE,FALSE)</f>
        <v>Gemeinde72</v>
      </c>
      <c r="C698" s="129" t="s">
        <v>596</v>
      </c>
      <c r="D698" s="126" t="s">
        <v>306</v>
      </c>
      <c r="E698" s="126">
        <v>0.05</v>
      </c>
    </row>
    <row r="699" spans="1:5">
      <c r="A699" t="s">
        <v>61</v>
      </c>
      <c r="B699" s="127" t="str">
        <f>"Gemeinde"&amp;_xlfn.XLOOKUP(A699,Auswahlliste!E:E,Auswahlliste!D:D,FALSE,FALSE)</f>
        <v>Gemeinde72</v>
      </c>
      <c r="C699" s="129" t="s">
        <v>373</v>
      </c>
      <c r="D699" s="126" t="s">
        <v>319</v>
      </c>
      <c r="E699" s="126">
        <v>0</v>
      </c>
    </row>
    <row r="700" spans="1:5">
      <c r="A700" t="s">
        <v>61</v>
      </c>
      <c r="B700" s="127" t="str">
        <f>"Gemeinde"&amp;_xlfn.XLOOKUP(A700,Auswahlliste!E:E,Auswahlliste!D:D,FALSE,FALSE)</f>
        <v>Gemeinde72</v>
      </c>
      <c r="C700" s="129" t="s">
        <v>342</v>
      </c>
      <c r="D700" s="126" t="s">
        <v>426</v>
      </c>
      <c r="E700" s="126">
        <v>0</v>
      </c>
    </row>
    <row r="701" spans="1:5">
      <c r="A701" t="s">
        <v>83</v>
      </c>
      <c r="B701" s="127" t="str">
        <f>"Gemeinde"&amp;_xlfn.XLOOKUP(A701,Auswahlliste!E:E,Auswahlliste!D:D,FALSE,FALSE)</f>
        <v>Gemeinde73</v>
      </c>
      <c r="C701" s="129" t="s">
        <v>369</v>
      </c>
      <c r="D701" s="126" t="s">
        <v>375</v>
      </c>
      <c r="E701" s="126">
        <v>0.1</v>
      </c>
    </row>
    <row r="702" spans="1:5">
      <c r="A702" t="s">
        <v>83</v>
      </c>
      <c r="B702" s="127" t="str">
        <f>"Gemeinde"&amp;_xlfn.XLOOKUP(A702,Auswahlliste!E:E,Auswahlliste!D:D,FALSE,FALSE)</f>
        <v>Gemeinde73</v>
      </c>
      <c r="C702" s="129" t="s">
        <v>366</v>
      </c>
      <c r="D702" s="126" t="s">
        <v>367</v>
      </c>
      <c r="E702" s="126">
        <v>0.1</v>
      </c>
    </row>
    <row r="703" spans="1:5">
      <c r="A703" t="s">
        <v>83</v>
      </c>
      <c r="B703" s="127" t="str">
        <f>"Gemeinde"&amp;_xlfn.XLOOKUP(A703,Auswahlliste!E:E,Auswahlliste!D:D,FALSE,FALSE)</f>
        <v>Gemeinde73</v>
      </c>
      <c r="C703" s="129" t="s">
        <v>377</v>
      </c>
      <c r="D703" s="126" t="s">
        <v>326</v>
      </c>
      <c r="E703" s="126">
        <v>0.1</v>
      </c>
    </row>
    <row r="704" spans="1:5">
      <c r="A704" t="s">
        <v>83</v>
      </c>
      <c r="B704" s="127" t="str">
        <f>"Gemeinde"&amp;_xlfn.XLOOKUP(A704,Auswahlliste!E:E,Auswahlliste!D:D,FALSE,FALSE)</f>
        <v>Gemeinde73</v>
      </c>
      <c r="C704" s="129" t="s">
        <v>378</v>
      </c>
      <c r="D704" s="126" t="s">
        <v>355</v>
      </c>
      <c r="E704" s="126">
        <v>0.1</v>
      </c>
    </row>
    <row r="705" spans="1:5">
      <c r="A705" t="s">
        <v>83</v>
      </c>
      <c r="B705" s="127" t="str">
        <f>"Gemeinde"&amp;_xlfn.XLOOKUP(A705,Auswahlliste!E:E,Auswahlliste!D:D,FALSE,FALSE)</f>
        <v>Gemeinde73</v>
      </c>
      <c r="C705" s="129" t="s">
        <v>440</v>
      </c>
      <c r="D705" s="126" t="s">
        <v>441</v>
      </c>
      <c r="E705" s="126">
        <v>0.1</v>
      </c>
    </row>
    <row r="706" spans="1:5">
      <c r="A706" t="s">
        <v>83</v>
      </c>
      <c r="B706" s="127" t="str">
        <f>"Gemeinde"&amp;_xlfn.XLOOKUP(A706,Auswahlliste!E:E,Auswahlliste!D:D,FALSE,FALSE)</f>
        <v>Gemeinde73</v>
      </c>
      <c r="C706" s="133" t="s">
        <v>405</v>
      </c>
      <c r="D706" s="136" t="s">
        <v>332</v>
      </c>
      <c r="E706" s="136">
        <v>0.1</v>
      </c>
    </row>
    <row r="707" spans="1:5">
      <c r="A707" t="s">
        <v>83</v>
      </c>
      <c r="B707" s="127" t="str">
        <f>"Gemeinde"&amp;_xlfn.XLOOKUP(A707,Auswahlliste!E:E,Auswahlliste!D:D,FALSE,FALSE)</f>
        <v>Gemeinde73</v>
      </c>
      <c r="C707" s="129" t="s">
        <v>380</v>
      </c>
      <c r="D707" s="126" t="s">
        <v>334</v>
      </c>
      <c r="E707" s="126">
        <v>0.1</v>
      </c>
    </row>
    <row r="708" spans="1:5">
      <c r="A708" t="s">
        <v>83</v>
      </c>
      <c r="B708" s="127" t="str">
        <f>"Gemeinde"&amp;_xlfn.XLOOKUP(A708,Auswahlliste!E:E,Auswahlliste!D:D,FALSE,FALSE)</f>
        <v>Gemeinde73</v>
      </c>
      <c r="C708" s="129" t="s">
        <v>381</v>
      </c>
      <c r="D708" s="126" t="s">
        <v>361</v>
      </c>
      <c r="E708" s="126">
        <v>0.1</v>
      </c>
    </row>
    <row r="709" spans="1:5">
      <c r="A709" t="s">
        <v>83</v>
      </c>
      <c r="B709" s="127" t="str">
        <f>"Gemeinde"&amp;_xlfn.XLOOKUP(A709,Auswahlliste!E:E,Auswahlliste!D:D,FALSE,FALSE)</f>
        <v>Gemeinde73</v>
      </c>
      <c r="C709" s="129" t="s">
        <v>422</v>
      </c>
      <c r="D709" s="126" t="s">
        <v>423</v>
      </c>
      <c r="E709" s="126">
        <v>0.1</v>
      </c>
    </row>
    <row r="710" spans="1:5">
      <c r="A710" t="s">
        <v>83</v>
      </c>
      <c r="B710" s="127" t="str">
        <f>"Gemeinde"&amp;_xlfn.XLOOKUP(A710,Auswahlliste!E:E,Auswahlliste!D:D,FALSE,FALSE)</f>
        <v>Gemeinde73</v>
      </c>
      <c r="C710" s="129" t="s">
        <v>424</v>
      </c>
      <c r="D710" s="126" t="s">
        <v>425</v>
      </c>
      <c r="E710" s="126">
        <v>0.1</v>
      </c>
    </row>
    <row r="711" spans="1:5">
      <c r="A711" t="s">
        <v>83</v>
      </c>
      <c r="B711" s="127" t="str">
        <f>"Gemeinde"&amp;_xlfn.XLOOKUP(A711,Auswahlliste!E:E,Auswahlliste!D:D,FALSE,FALSE)</f>
        <v>Gemeinde73</v>
      </c>
      <c r="C711" s="129" t="s">
        <v>397</v>
      </c>
      <c r="D711" s="126" t="s">
        <v>309</v>
      </c>
      <c r="E711" s="126">
        <v>0.1</v>
      </c>
    </row>
    <row r="712" spans="1:5">
      <c r="A712" t="s">
        <v>83</v>
      </c>
      <c r="B712" s="127" t="str">
        <f>"Gemeinde"&amp;_xlfn.XLOOKUP(A712,Auswahlliste!E:E,Auswahlliste!D:D,FALSE,FALSE)</f>
        <v>Gemeinde73</v>
      </c>
      <c r="C712" s="129" t="s">
        <v>340</v>
      </c>
      <c r="D712" s="126" t="s">
        <v>341</v>
      </c>
      <c r="E712" s="126">
        <v>0.1</v>
      </c>
    </row>
    <row r="713" spans="1:5">
      <c r="A713" t="s">
        <v>83</v>
      </c>
      <c r="B713" s="127" t="str">
        <f>"Gemeinde"&amp;_xlfn.XLOOKUP(A713,Auswahlliste!E:E,Auswahlliste!D:D,FALSE,FALSE)</f>
        <v>Gemeinde73</v>
      </c>
      <c r="C713" s="129" t="s">
        <v>433</v>
      </c>
      <c r="D713" s="126" t="s">
        <v>434</v>
      </c>
      <c r="E713" s="126">
        <v>0.1</v>
      </c>
    </row>
    <row r="714" spans="1:5">
      <c r="A714" t="s">
        <v>83</v>
      </c>
      <c r="B714" s="127" t="str">
        <f>"Gemeinde"&amp;_xlfn.XLOOKUP(A714,Auswahlliste!E:E,Auswahlliste!D:D,FALSE,FALSE)</f>
        <v>Gemeinde73</v>
      </c>
      <c r="C714" s="129" t="s">
        <v>343</v>
      </c>
      <c r="D714" s="126" t="s">
        <v>344</v>
      </c>
      <c r="E714" s="126">
        <v>0.1</v>
      </c>
    </row>
    <row r="715" spans="1:5">
      <c r="A715" t="s">
        <v>83</v>
      </c>
      <c r="B715" s="127" t="str">
        <f>"Gemeinde"&amp;_xlfn.XLOOKUP(A715,Auswahlliste!E:E,Auswahlliste!D:D,FALSE,FALSE)</f>
        <v>Gemeinde73</v>
      </c>
      <c r="C715" s="129" t="s">
        <v>442</v>
      </c>
      <c r="D715" s="126" t="s">
        <v>443</v>
      </c>
      <c r="E715" s="126">
        <v>0.1</v>
      </c>
    </row>
    <row r="716" spans="1:5">
      <c r="A716" t="s">
        <v>83</v>
      </c>
      <c r="B716" s="127" t="str">
        <f>"Gemeinde"&amp;_xlfn.XLOOKUP(A716,Auswahlliste!E:E,Auswahlliste!D:D,FALSE,FALSE)</f>
        <v>Gemeinde73</v>
      </c>
      <c r="C716" s="129" t="s">
        <v>15</v>
      </c>
      <c r="D716" s="126" t="s">
        <v>386</v>
      </c>
      <c r="E716" s="126">
        <v>0.1</v>
      </c>
    </row>
    <row r="717" spans="1:5">
      <c r="A717" t="s">
        <v>83</v>
      </c>
      <c r="B717" s="127" t="str">
        <f>"Gemeinde"&amp;_xlfn.XLOOKUP(A717,Auswahlliste!E:E,Auswahlliste!D:D,FALSE,FALSE)</f>
        <v>Gemeinde73</v>
      </c>
      <c r="C717" s="129" t="s">
        <v>444</v>
      </c>
      <c r="D717" s="126" t="s">
        <v>445</v>
      </c>
      <c r="E717" s="126">
        <v>0.1</v>
      </c>
    </row>
    <row r="718" spans="1:5">
      <c r="A718" t="s">
        <v>83</v>
      </c>
      <c r="B718" s="127" t="str">
        <f>"Gemeinde"&amp;_xlfn.XLOOKUP(A718,Auswahlliste!E:E,Auswahlliste!D:D,FALSE,FALSE)</f>
        <v>Gemeinde73</v>
      </c>
      <c r="C718" s="129" t="s">
        <v>446</v>
      </c>
      <c r="D718" s="126" t="s">
        <v>447</v>
      </c>
      <c r="E718" s="126">
        <v>0.1</v>
      </c>
    </row>
    <row r="719" spans="1:5">
      <c r="A719" t="s">
        <v>71</v>
      </c>
      <c r="B719" s="127" t="str">
        <f>"Gemeinde"&amp;_xlfn.XLOOKUP(A719,Auswahlliste!E:E,Auswahlliste!D:D,FALSE,FALSE)</f>
        <v>Gemeinde74</v>
      </c>
      <c r="C719" s="129" t="s">
        <v>435</v>
      </c>
      <c r="D719" s="126" t="s">
        <v>367</v>
      </c>
      <c r="E719" s="126">
        <v>0.4</v>
      </c>
    </row>
    <row r="720" spans="1:5">
      <c r="A720" t="s">
        <v>71</v>
      </c>
      <c r="B720" s="127" t="str">
        <f>"Gemeinde"&amp;_xlfn.XLOOKUP(A720,Auswahlliste!E:E,Auswahlliste!D:D,FALSE,FALSE)</f>
        <v>Gemeinde74</v>
      </c>
      <c r="C720" s="129" t="s">
        <v>189</v>
      </c>
      <c r="D720" s="126" t="s">
        <v>326</v>
      </c>
      <c r="E720" s="126">
        <v>0.4</v>
      </c>
    </row>
    <row r="721" spans="1:5">
      <c r="A721" t="s">
        <v>71</v>
      </c>
      <c r="B721" s="127" t="str">
        <f>"Gemeinde"&amp;_xlfn.XLOOKUP(A721,Auswahlliste!E:E,Auswahlliste!D:D,FALSE,FALSE)</f>
        <v>Gemeinde74</v>
      </c>
      <c r="C721" s="129" t="s">
        <v>473</v>
      </c>
      <c r="D721" s="126" t="s">
        <v>332</v>
      </c>
      <c r="E721" s="126">
        <v>0.55000000000000004</v>
      </c>
    </row>
    <row r="722" spans="1:5">
      <c r="A722" t="s">
        <v>71</v>
      </c>
      <c r="B722" s="127" t="str">
        <f>"Gemeinde"&amp;_xlfn.XLOOKUP(A722,Auswahlliste!E:E,Auswahlliste!D:D,FALSE,FALSE)</f>
        <v>Gemeinde74</v>
      </c>
      <c r="C722" s="129" t="s">
        <v>474</v>
      </c>
      <c r="D722" s="126" t="s">
        <v>334</v>
      </c>
      <c r="E722" s="126">
        <v>0.55000000000000004</v>
      </c>
    </row>
    <row r="723" spans="1:5">
      <c r="A723" t="s">
        <v>71</v>
      </c>
      <c r="B723" s="127" t="str">
        <f>"Gemeinde"&amp;_xlfn.XLOOKUP(A723,Auswahlliste!E:E,Auswahlliste!D:D,FALSE,FALSE)</f>
        <v>Gemeinde74</v>
      </c>
      <c r="C723" s="129" t="s">
        <v>397</v>
      </c>
      <c r="D723" s="126" t="s">
        <v>309</v>
      </c>
      <c r="E723" s="126">
        <v>0.7</v>
      </c>
    </row>
    <row r="724" spans="1:5">
      <c r="A724" t="s">
        <v>71</v>
      </c>
      <c r="B724" s="127" t="str">
        <f>"Gemeinde"&amp;_xlfn.XLOOKUP(A724,Auswahlliste!E:E,Auswahlliste!D:D,FALSE,FALSE)</f>
        <v>Gemeinde74</v>
      </c>
      <c r="C724" s="129" t="s">
        <v>340</v>
      </c>
      <c r="D724" s="126" t="s">
        <v>341</v>
      </c>
      <c r="E724" s="126">
        <v>0.7</v>
      </c>
    </row>
    <row r="725" spans="1:5">
      <c r="A725" t="s">
        <v>71</v>
      </c>
      <c r="B725" s="127" t="str">
        <f>"Gemeinde"&amp;_xlfn.XLOOKUP(A725,Auswahlliste!E:E,Auswahlliste!D:D,FALSE,FALSE)</f>
        <v>Gemeinde74</v>
      </c>
      <c r="C725" s="133" t="s">
        <v>343</v>
      </c>
      <c r="D725" s="136" t="s">
        <v>344</v>
      </c>
      <c r="E725" s="136">
        <v>0.8</v>
      </c>
    </row>
    <row r="726" spans="1:5">
      <c r="A726" t="s">
        <v>71</v>
      </c>
      <c r="B726" s="127" t="str">
        <f>"Gemeinde"&amp;_xlfn.XLOOKUP(A726,Auswahlliste!E:E,Auswahlliste!D:D,FALSE,FALSE)</f>
        <v>Gemeinde74</v>
      </c>
      <c r="C726" s="129" t="s">
        <v>15</v>
      </c>
      <c r="D726" s="126" t="s">
        <v>386</v>
      </c>
      <c r="E726" s="126">
        <v>0.8</v>
      </c>
    </row>
    <row r="727" spans="1:5">
      <c r="A727" t="s">
        <v>49</v>
      </c>
      <c r="B727" s="127" t="str">
        <f>"Gemeinde"&amp;_xlfn.XLOOKUP(A727,Auswahlliste!E:E,Auswahlliste!D:D,FALSE,FALSE)</f>
        <v>Gemeinde75</v>
      </c>
      <c r="C727" s="129" t="s">
        <v>502</v>
      </c>
      <c r="D727" s="126"/>
      <c r="E727" s="126">
        <v>0.05</v>
      </c>
    </row>
    <row r="728" spans="1:5">
      <c r="A728" t="s">
        <v>49</v>
      </c>
      <c r="B728" s="127" t="str">
        <f>"Gemeinde"&amp;_xlfn.XLOOKUP(A728,Auswahlliste!E:E,Auswahlliste!D:D,FALSE,FALSE)</f>
        <v>Gemeinde75</v>
      </c>
      <c r="C728" s="129" t="s">
        <v>770</v>
      </c>
      <c r="D728" s="126" t="s">
        <v>503</v>
      </c>
      <c r="E728" s="126">
        <v>0.17499999999999999</v>
      </c>
    </row>
    <row r="729" spans="1:5">
      <c r="A729" t="s">
        <v>49</v>
      </c>
      <c r="B729" s="127" t="str">
        <f>"Gemeinde"&amp;_xlfn.XLOOKUP(A729,Auswahlliste!E:E,Auswahlliste!D:D,FALSE,FALSE)</f>
        <v>Gemeinde75</v>
      </c>
      <c r="C729" s="129" t="s">
        <v>771</v>
      </c>
      <c r="D729" s="126" t="s">
        <v>504</v>
      </c>
      <c r="E729" s="126">
        <v>0.17499999999999999</v>
      </c>
    </row>
    <row r="730" spans="1:5">
      <c r="A730" t="s">
        <v>49</v>
      </c>
      <c r="B730" s="127" t="str">
        <f>"Gemeinde"&amp;_xlfn.XLOOKUP(A730,Auswahlliste!E:E,Auswahlliste!D:D,FALSE,FALSE)</f>
        <v>Gemeinde75</v>
      </c>
      <c r="C730" s="129" t="s">
        <v>771</v>
      </c>
      <c r="D730" s="126" t="s">
        <v>505</v>
      </c>
      <c r="E730" s="126">
        <v>0.17499999999999999</v>
      </c>
    </row>
    <row r="731" spans="1:5">
      <c r="A731" t="s">
        <v>49</v>
      </c>
      <c r="B731" s="127" t="str">
        <f>"Gemeinde"&amp;_xlfn.XLOOKUP(A731,Auswahlliste!E:E,Auswahlliste!D:D,FALSE,FALSE)</f>
        <v>Gemeinde75</v>
      </c>
      <c r="C731" s="129" t="s">
        <v>772</v>
      </c>
      <c r="D731" s="126" t="s">
        <v>506</v>
      </c>
      <c r="E731" s="126">
        <v>0.2</v>
      </c>
    </row>
    <row r="732" spans="1:5">
      <c r="A732" t="s">
        <v>49</v>
      </c>
      <c r="B732" s="127" t="str">
        <f>"Gemeinde"&amp;_xlfn.XLOOKUP(A732,Auswahlliste!E:E,Auswahlliste!D:D,FALSE,FALSE)</f>
        <v>Gemeinde75</v>
      </c>
      <c r="C732" s="129" t="s">
        <v>773</v>
      </c>
      <c r="D732" s="126" t="s">
        <v>507</v>
      </c>
      <c r="E732" s="126">
        <v>0.2</v>
      </c>
    </row>
    <row r="733" spans="1:5">
      <c r="A733" t="s">
        <v>49</v>
      </c>
      <c r="B733" s="127" t="str">
        <f>"Gemeinde"&amp;_xlfn.XLOOKUP(A733,Auswahlliste!E:E,Auswahlliste!D:D,FALSE,FALSE)</f>
        <v>Gemeinde75</v>
      </c>
      <c r="C733" s="129" t="s">
        <v>774</v>
      </c>
      <c r="D733" s="126" t="s">
        <v>508</v>
      </c>
      <c r="E733" s="126">
        <v>0.22500000000000001</v>
      </c>
    </row>
    <row r="734" spans="1:5">
      <c r="A734" t="s">
        <v>49</v>
      </c>
      <c r="B734" s="127" t="str">
        <f>"Gemeinde"&amp;_xlfn.XLOOKUP(A734,Auswahlliste!E:E,Auswahlliste!D:D,FALSE,FALSE)</f>
        <v>Gemeinde75</v>
      </c>
      <c r="C734" s="129" t="s">
        <v>775</v>
      </c>
      <c r="D734" s="126" t="s">
        <v>509</v>
      </c>
      <c r="E734" s="126">
        <v>0.3</v>
      </c>
    </row>
    <row r="735" spans="1:5">
      <c r="A735" t="s">
        <v>49</v>
      </c>
      <c r="B735" s="127" t="str">
        <f>"Gemeinde"&amp;_xlfn.XLOOKUP(A735,Auswahlliste!E:E,Auswahlliste!D:D,FALSE,FALSE)</f>
        <v>Gemeinde75</v>
      </c>
      <c r="C735" s="129" t="s">
        <v>776</v>
      </c>
      <c r="D735" s="126" t="s">
        <v>510</v>
      </c>
      <c r="E735" s="126">
        <v>0.3</v>
      </c>
    </row>
    <row r="736" spans="1:5">
      <c r="A736" t="s">
        <v>49</v>
      </c>
      <c r="B736" s="127" t="str">
        <f>"Gemeinde"&amp;_xlfn.XLOOKUP(A736,Auswahlliste!E:E,Auswahlliste!D:D,FALSE,FALSE)</f>
        <v>Gemeinde75</v>
      </c>
      <c r="C736" s="129" t="s">
        <v>777</v>
      </c>
      <c r="D736" s="126" t="s">
        <v>511</v>
      </c>
      <c r="E736" s="126">
        <v>0.3</v>
      </c>
    </row>
    <row r="737" spans="1:5">
      <c r="A737" t="s">
        <v>49</v>
      </c>
      <c r="B737" s="127" t="str">
        <f>"Gemeinde"&amp;_xlfn.XLOOKUP(A737,Auswahlliste!E:E,Auswahlliste!D:D,FALSE,FALSE)</f>
        <v>Gemeinde75</v>
      </c>
      <c r="C737" s="129" t="s">
        <v>778</v>
      </c>
      <c r="D737" s="126" t="s">
        <v>512</v>
      </c>
      <c r="E737" s="126">
        <v>0.3</v>
      </c>
    </row>
    <row r="738" spans="1:5">
      <c r="A738" t="s">
        <v>49</v>
      </c>
      <c r="B738" s="127" t="str">
        <f>"Gemeinde"&amp;_xlfn.XLOOKUP(A738,Auswahlliste!E:E,Auswahlliste!D:D,FALSE,FALSE)</f>
        <v>Gemeinde75</v>
      </c>
      <c r="C738" s="133" t="s">
        <v>779</v>
      </c>
      <c r="D738" s="136" t="s">
        <v>513</v>
      </c>
      <c r="E738" s="136">
        <v>0.3</v>
      </c>
    </row>
    <row r="739" spans="1:5">
      <c r="A739" t="s">
        <v>49</v>
      </c>
      <c r="B739" s="127" t="str">
        <f>"Gemeinde"&amp;_xlfn.XLOOKUP(A739,Auswahlliste!E:E,Auswahlliste!D:D,FALSE,FALSE)</f>
        <v>Gemeinde75</v>
      </c>
      <c r="C739" s="129" t="s">
        <v>780</v>
      </c>
      <c r="D739" s="126" t="s">
        <v>514</v>
      </c>
      <c r="E739" s="126">
        <v>0.3</v>
      </c>
    </row>
    <row r="740" spans="1:5">
      <c r="A740" t="s">
        <v>49</v>
      </c>
      <c r="B740" s="127" t="str">
        <f>"Gemeinde"&amp;_xlfn.XLOOKUP(A740,Auswahlliste!E:E,Auswahlliste!D:D,FALSE,FALSE)</f>
        <v>Gemeinde75</v>
      </c>
      <c r="C740" s="129" t="s">
        <v>781</v>
      </c>
      <c r="D740" s="126" t="s">
        <v>515</v>
      </c>
      <c r="E740" s="126">
        <v>0.3</v>
      </c>
    </row>
    <row r="741" spans="1:5">
      <c r="A741" t="s">
        <v>49</v>
      </c>
      <c r="B741" s="127" t="str">
        <f>"Gemeinde"&amp;_xlfn.XLOOKUP(A741,Auswahlliste!E:E,Auswahlliste!D:D,FALSE,FALSE)</f>
        <v>Gemeinde75</v>
      </c>
      <c r="C741" s="129" t="s">
        <v>782</v>
      </c>
      <c r="D741" s="126" t="s">
        <v>516</v>
      </c>
      <c r="E741" s="126">
        <v>0.3</v>
      </c>
    </row>
    <row r="742" spans="1:5">
      <c r="A742" t="s">
        <v>49</v>
      </c>
      <c r="B742" s="127" t="str">
        <f>"Gemeinde"&amp;_xlfn.XLOOKUP(A742,Auswahlliste!E:E,Auswahlliste!D:D,FALSE,FALSE)</f>
        <v>Gemeinde75</v>
      </c>
      <c r="C742" s="129" t="s">
        <v>15</v>
      </c>
      <c r="D742" s="126" t="s">
        <v>386</v>
      </c>
      <c r="E742" s="126">
        <v>0.15</v>
      </c>
    </row>
    <row r="743" spans="1:5">
      <c r="A743" t="s">
        <v>95</v>
      </c>
      <c r="B743" s="127" t="str">
        <f>"Gemeinde"&amp;_xlfn.XLOOKUP(A743,Auswahlliste!E:E,Auswahlliste!D:D,FALSE,FALSE)</f>
        <v>Gemeinde76</v>
      </c>
      <c r="C743" s="129" t="s">
        <v>435</v>
      </c>
      <c r="D743" s="126" t="s">
        <v>367</v>
      </c>
      <c r="E743" s="126">
        <v>0.35</v>
      </c>
    </row>
    <row r="744" spans="1:5">
      <c r="A744" t="s">
        <v>95</v>
      </c>
      <c r="B744" s="127" t="str">
        <f>"Gemeinde"&amp;_xlfn.XLOOKUP(A744,Auswahlliste!E:E,Auswahlliste!D:D,FALSE,FALSE)</f>
        <v>Gemeinde76</v>
      </c>
      <c r="C744" s="129" t="s">
        <v>189</v>
      </c>
      <c r="D744" s="126" t="s">
        <v>326</v>
      </c>
      <c r="E744" s="126">
        <v>0.4</v>
      </c>
    </row>
    <row r="745" spans="1:5">
      <c r="A745" t="s">
        <v>95</v>
      </c>
      <c r="B745" s="127" t="str">
        <f>"Gemeinde"&amp;_xlfn.XLOOKUP(A745,Auswahlliste!E:E,Auswahlliste!D:D,FALSE,FALSE)</f>
        <v>Gemeinde76</v>
      </c>
      <c r="C745" s="129" t="s">
        <v>190</v>
      </c>
      <c r="D745" s="126" t="s">
        <v>355</v>
      </c>
      <c r="E745" s="126">
        <v>0.45</v>
      </c>
    </row>
    <row r="746" spans="1:5">
      <c r="A746" t="s">
        <v>95</v>
      </c>
      <c r="B746" s="127" t="str">
        <f>"Gemeinde"&amp;_xlfn.XLOOKUP(A746,Auswahlliste!E:E,Auswahlliste!D:D,FALSE,FALSE)</f>
        <v>Gemeinde76</v>
      </c>
      <c r="C746" s="129" t="s">
        <v>473</v>
      </c>
      <c r="D746" s="126" t="s">
        <v>332</v>
      </c>
      <c r="E746" s="126">
        <v>0.35</v>
      </c>
    </row>
    <row r="747" spans="1:5">
      <c r="A747" t="s">
        <v>95</v>
      </c>
      <c r="B747" s="127" t="str">
        <f>"Gemeinde"&amp;_xlfn.XLOOKUP(A747,Auswahlliste!E:E,Auswahlliste!D:D,FALSE,FALSE)</f>
        <v>Gemeinde76</v>
      </c>
      <c r="C747" s="129" t="s">
        <v>474</v>
      </c>
      <c r="D747" s="126" t="s">
        <v>334</v>
      </c>
      <c r="E747" s="126">
        <v>0.45</v>
      </c>
    </row>
    <row r="748" spans="1:5">
      <c r="A748" t="s">
        <v>95</v>
      </c>
      <c r="B748" s="127" t="str">
        <f>"Gemeinde"&amp;_xlfn.XLOOKUP(A748,Auswahlliste!E:E,Auswahlliste!D:D,FALSE,FALSE)</f>
        <v>Gemeinde76</v>
      </c>
      <c r="C748" s="129" t="s">
        <v>475</v>
      </c>
      <c r="D748" s="126" t="s">
        <v>361</v>
      </c>
      <c r="E748" s="126">
        <v>0.5</v>
      </c>
    </row>
    <row r="749" spans="1:5">
      <c r="A749" t="s">
        <v>95</v>
      </c>
      <c r="B749" s="127" t="str">
        <f>"Gemeinde"&amp;_xlfn.XLOOKUP(A749,Auswahlliste!E:E,Auswahlliste!D:D,FALSE,FALSE)</f>
        <v>Gemeinde76</v>
      </c>
      <c r="C749" s="129" t="s">
        <v>397</v>
      </c>
      <c r="D749" s="126" t="s">
        <v>309</v>
      </c>
      <c r="E749" s="126">
        <v>0.7</v>
      </c>
    </row>
    <row r="750" spans="1:5">
      <c r="A750" t="s">
        <v>95</v>
      </c>
      <c r="B750" s="127" t="str">
        <f>"Gemeinde"&amp;_xlfn.XLOOKUP(A750,Auswahlliste!E:E,Auswahlliste!D:D,FALSE,FALSE)</f>
        <v>Gemeinde76</v>
      </c>
      <c r="C750" s="129" t="s">
        <v>340</v>
      </c>
      <c r="D750" s="126" t="s">
        <v>341</v>
      </c>
      <c r="E750" s="126">
        <v>0.8</v>
      </c>
    </row>
    <row r="751" spans="1:5">
      <c r="A751" t="s">
        <v>612</v>
      </c>
      <c r="B751" s="127" t="str">
        <f>"Gemeinde"&amp;_xlfn.XLOOKUP(A751,Auswahlliste!E:E,Auswahlliste!D:D,FALSE,FALSE)</f>
        <v>Gemeinde78</v>
      </c>
      <c r="C751" s="129" t="s">
        <v>439</v>
      </c>
      <c r="D751" s="126" t="s">
        <v>375</v>
      </c>
      <c r="E751" s="126">
        <v>0.3</v>
      </c>
    </row>
    <row r="752" spans="1:5">
      <c r="A752" t="s">
        <v>612</v>
      </c>
      <c r="B752" s="127" t="str">
        <f>"Gemeinde"&amp;_xlfn.XLOOKUP(A752,Auswahlliste!E:E,Auswahlliste!D:D,FALSE,FALSE)</f>
        <v>Gemeinde78</v>
      </c>
      <c r="C752" s="129" t="s">
        <v>435</v>
      </c>
      <c r="D752" s="126" t="s">
        <v>367</v>
      </c>
      <c r="E752" s="126">
        <v>0.3</v>
      </c>
    </row>
    <row r="753" spans="1:5">
      <c r="A753" t="s">
        <v>612</v>
      </c>
      <c r="B753" s="127" t="str">
        <f>"Gemeinde"&amp;_xlfn.XLOOKUP(A753,Auswahlliste!E:E,Auswahlliste!D:D,FALSE,FALSE)</f>
        <v>Gemeinde78</v>
      </c>
      <c r="C753" s="133" t="s">
        <v>520</v>
      </c>
      <c r="D753" s="136" t="s">
        <v>332</v>
      </c>
      <c r="E753" s="136">
        <v>0.35</v>
      </c>
    </row>
    <row r="754" spans="1:5">
      <c r="A754" t="s">
        <v>612</v>
      </c>
      <c r="B754" s="127" t="str">
        <f>"Gemeinde"&amp;_xlfn.XLOOKUP(A754,Auswahlliste!E:E,Auswahlliste!D:D,FALSE,FALSE)</f>
        <v>Gemeinde78</v>
      </c>
      <c r="C754" s="129" t="s">
        <v>521</v>
      </c>
      <c r="D754" s="126" t="s">
        <v>334</v>
      </c>
      <c r="E754" s="126">
        <v>0.35</v>
      </c>
    </row>
    <row r="755" spans="1:5">
      <c r="A755" t="s">
        <v>612</v>
      </c>
      <c r="B755" s="127" t="str">
        <f>"Gemeinde"&amp;_xlfn.XLOOKUP(A755,Auswahlliste!E:E,Auswahlliste!D:D,FALSE,FALSE)</f>
        <v>Gemeinde78</v>
      </c>
      <c r="C755" s="129" t="s">
        <v>522</v>
      </c>
      <c r="D755" s="126" t="s">
        <v>382</v>
      </c>
      <c r="E755" s="126">
        <v>0.5</v>
      </c>
    </row>
    <row r="756" spans="1:5">
      <c r="A756" t="s">
        <v>612</v>
      </c>
      <c r="B756" s="127" t="str">
        <f>"Gemeinde"&amp;_xlfn.XLOOKUP(A756,Auswahlliste!E:E,Auswahlliste!D:D,FALSE,FALSE)</f>
        <v>Gemeinde78</v>
      </c>
      <c r="C756" s="129" t="s">
        <v>197</v>
      </c>
      <c r="D756" s="126" t="s">
        <v>346</v>
      </c>
      <c r="E756" s="126">
        <v>0.45</v>
      </c>
    </row>
    <row r="757" spans="1:5">
      <c r="A757" t="s">
        <v>612</v>
      </c>
      <c r="B757" s="127" t="str">
        <f>"Gemeinde"&amp;_xlfn.XLOOKUP(A757,Auswahlliste!E:E,Auswahlliste!D:D,FALSE,FALSE)</f>
        <v>Gemeinde78</v>
      </c>
      <c r="C757" s="129" t="s">
        <v>393</v>
      </c>
      <c r="D757" s="126" t="s">
        <v>451</v>
      </c>
      <c r="E757" s="126">
        <v>0.3</v>
      </c>
    </row>
    <row r="758" spans="1:5">
      <c r="A758" t="s">
        <v>612</v>
      </c>
      <c r="B758" s="127" t="str">
        <f>"Gemeinde"&amp;_xlfn.XLOOKUP(A758,Auswahlliste!E:E,Auswahlliste!D:D,FALSE,FALSE)</f>
        <v>Gemeinde78</v>
      </c>
      <c r="C758" s="129" t="s">
        <v>15</v>
      </c>
      <c r="D758" s="126" t="s">
        <v>449</v>
      </c>
      <c r="E758" s="126">
        <v>0.3</v>
      </c>
    </row>
    <row r="759" spans="1:5">
      <c r="A759" t="s">
        <v>612</v>
      </c>
      <c r="B759" s="127" t="str">
        <f>"Gemeinde"&amp;_xlfn.XLOOKUP(A759,Auswahlliste!E:E,Auswahlliste!D:D,FALSE,FALSE)</f>
        <v>Gemeinde78</v>
      </c>
      <c r="C759" s="129" t="s">
        <v>342</v>
      </c>
      <c r="D759" s="126" t="s">
        <v>426</v>
      </c>
      <c r="E759" s="126">
        <v>0.2</v>
      </c>
    </row>
    <row r="760" spans="1:5">
      <c r="A760" t="s">
        <v>612</v>
      </c>
      <c r="B760" s="127" t="str">
        <f>"Gemeinde"&amp;_xlfn.XLOOKUP(A760,Auswahlliste!E:E,Auswahlliste!D:D,FALSE,FALSE)</f>
        <v>Gemeinde78</v>
      </c>
      <c r="C760" s="129" t="s">
        <v>394</v>
      </c>
      <c r="D760" s="126" t="s">
        <v>477</v>
      </c>
      <c r="E760" s="126">
        <v>0.3</v>
      </c>
    </row>
    <row r="761" spans="1:5">
      <c r="A761" t="s">
        <v>613</v>
      </c>
      <c r="B761" s="127" t="str">
        <f>"Gemeinde"&amp;_xlfn.XLOOKUP(A761,Auswahlliste!E:E,Auswahlliste!D:D,FALSE,FALSE)</f>
        <v>Gemeinde79</v>
      </c>
      <c r="C761" s="129" t="s">
        <v>439</v>
      </c>
      <c r="D761" s="126" t="s">
        <v>375</v>
      </c>
      <c r="E761" s="126">
        <v>0.25</v>
      </c>
    </row>
    <row r="762" spans="1:5">
      <c r="A762" t="s">
        <v>613</v>
      </c>
      <c r="B762" s="127" t="str">
        <f>"Gemeinde"&amp;_xlfn.XLOOKUP(A762,Auswahlliste!E:E,Auswahlliste!D:D,FALSE,FALSE)</f>
        <v>Gemeinde79</v>
      </c>
      <c r="C762" s="129" t="s">
        <v>435</v>
      </c>
      <c r="D762" s="126" t="s">
        <v>367</v>
      </c>
      <c r="E762" s="126">
        <v>0.3</v>
      </c>
    </row>
    <row r="763" spans="1:5">
      <c r="A763" t="s">
        <v>613</v>
      </c>
      <c r="B763" s="127" t="str">
        <f>"Gemeinde"&amp;_xlfn.XLOOKUP(A763,Auswahlliste!E:E,Auswahlliste!D:D,FALSE,FALSE)</f>
        <v>Gemeinde79</v>
      </c>
      <c r="C763" s="129" t="s">
        <v>189</v>
      </c>
      <c r="D763" s="126" t="s">
        <v>326</v>
      </c>
      <c r="E763" s="126">
        <v>0.4</v>
      </c>
    </row>
    <row r="764" spans="1:5">
      <c r="A764" t="s">
        <v>613</v>
      </c>
      <c r="B764" s="127" t="str">
        <f>"Gemeinde"&amp;_xlfn.XLOOKUP(A764,Auswahlliste!E:E,Auswahlliste!D:D,FALSE,FALSE)</f>
        <v>Gemeinde79</v>
      </c>
      <c r="C764" s="129" t="s">
        <v>520</v>
      </c>
      <c r="D764" s="126" t="s">
        <v>332</v>
      </c>
      <c r="E764" s="126">
        <v>0.4</v>
      </c>
    </row>
    <row r="765" spans="1:5">
      <c r="A765" t="s">
        <v>613</v>
      </c>
      <c r="B765" s="127" t="str">
        <f>"Gemeinde"&amp;_xlfn.XLOOKUP(A765,Auswahlliste!E:E,Auswahlliste!D:D,FALSE,FALSE)</f>
        <v>Gemeinde79</v>
      </c>
      <c r="C765" s="129" t="s">
        <v>519</v>
      </c>
      <c r="D765" s="126" t="s">
        <v>518</v>
      </c>
      <c r="E765" s="126">
        <v>0.6</v>
      </c>
    </row>
    <row r="766" spans="1:5">
      <c r="A766" t="s">
        <v>613</v>
      </c>
      <c r="B766" s="127" t="str">
        <f>"Gemeinde"&amp;_xlfn.XLOOKUP(A766,Auswahlliste!E:E,Auswahlliste!D:D,FALSE,FALSE)</f>
        <v>Gemeinde79</v>
      </c>
      <c r="C766" s="129" t="s">
        <v>196</v>
      </c>
      <c r="D766" s="126" t="s">
        <v>297</v>
      </c>
      <c r="E766" s="126">
        <v>0.55000000000000004</v>
      </c>
    </row>
    <row r="767" spans="1:5">
      <c r="A767" t="s">
        <v>613</v>
      </c>
      <c r="B767" s="127" t="str">
        <f>"Gemeinde"&amp;_xlfn.XLOOKUP(A767,Auswahlliste!E:E,Auswahlliste!D:D,FALSE,FALSE)</f>
        <v>Gemeinde79</v>
      </c>
      <c r="C767" s="133" t="s">
        <v>197</v>
      </c>
      <c r="D767" s="136" t="s">
        <v>346</v>
      </c>
      <c r="E767" s="136">
        <v>0.6</v>
      </c>
    </row>
    <row r="768" spans="1:5">
      <c r="A768" s="80" t="s">
        <v>613</v>
      </c>
      <c r="B768" s="127" t="str">
        <f>"Gemeinde"&amp;_xlfn.XLOOKUP(A768,Auswahlliste!E:E,Auswahlliste!D:D,FALSE,FALSE)</f>
        <v>Gemeinde79</v>
      </c>
      <c r="C768" s="129" t="s">
        <v>393</v>
      </c>
      <c r="D768" s="126" t="s">
        <v>451</v>
      </c>
      <c r="E768" s="126">
        <v>0.5</v>
      </c>
    </row>
    <row r="769" spans="1:5">
      <c r="A769" s="80" t="s">
        <v>613</v>
      </c>
      <c r="B769" s="127" t="str">
        <f>"Gemeinde"&amp;_xlfn.XLOOKUP(A769,Auswahlliste!E:E,Auswahlliste!D:D,FALSE,FALSE)</f>
        <v>Gemeinde79</v>
      </c>
      <c r="C769" s="129" t="s">
        <v>15</v>
      </c>
      <c r="D769" s="126" t="s">
        <v>449</v>
      </c>
      <c r="E769" s="126">
        <v>0.45</v>
      </c>
    </row>
    <row r="770" spans="1:5">
      <c r="A770" s="80" t="s">
        <v>613</v>
      </c>
      <c r="B770" s="127" t="str">
        <f>"Gemeinde"&amp;_xlfn.XLOOKUP(A770,Auswahlliste!E:E,Auswahlliste!D:D,FALSE,FALSE)</f>
        <v>Gemeinde79</v>
      </c>
      <c r="C770" s="129" t="s">
        <v>342</v>
      </c>
      <c r="D770" s="126" t="s">
        <v>426</v>
      </c>
      <c r="E770" s="126">
        <v>0.2</v>
      </c>
    </row>
    <row r="771" spans="1:5">
      <c r="A771" s="80" t="s">
        <v>613</v>
      </c>
      <c r="B771" s="127" t="str">
        <f>"Gemeinde"&amp;_xlfn.XLOOKUP(A771,Auswahlliste!E:E,Auswahlliste!D:D,FALSE,FALSE)</f>
        <v>Gemeinde79</v>
      </c>
      <c r="C771" s="129" t="s">
        <v>394</v>
      </c>
      <c r="D771" s="126" t="s">
        <v>477</v>
      </c>
      <c r="E771" s="126">
        <v>0.3</v>
      </c>
    </row>
    <row r="772" spans="1:5">
      <c r="A772" s="80" t="s">
        <v>30</v>
      </c>
      <c r="B772" s="127" t="str">
        <f>"Gemeinde"&amp;_xlfn.XLOOKUP(A772,Auswahlliste!E:E,Auswahlliste!D:D,FALSE,FALSE)</f>
        <v>Gemeinde80</v>
      </c>
      <c r="C772" s="129" t="s">
        <v>439</v>
      </c>
      <c r="D772" s="126" t="s">
        <v>375</v>
      </c>
      <c r="E772" s="126">
        <v>0.25</v>
      </c>
    </row>
    <row r="773" spans="1:5">
      <c r="A773" s="80" t="s">
        <v>30</v>
      </c>
      <c r="B773" s="127" t="str">
        <f>"Gemeinde"&amp;_xlfn.XLOOKUP(A773,Auswahlliste!E:E,Auswahlliste!D:D,FALSE,FALSE)</f>
        <v>Gemeinde80</v>
      </c>
      <c r="C773" s="129" t="s">
        <v>435</v>
      </c>
      <c r="D773" s="126" t="s">
        <v>367</v>
      </c>
      <c r="E773" s="126">
        <v>0.25</v>
      </c>
    </row>
    <row r="774" spans="1:5">
      <c r="A774" s="80" t="s">
        <v>30</v>
      </c>
      <c r="B774" s="127" t="str">
        <f>"Gemeinde"&amp;_xlfn.XLOOKUP(A774,Auswahlliste!E:E,Auswahlliste!D:D,FALSE,FALSE)</f>
        <v>Gemeinde80</v>
      </c>
      <c r="C774" s="129" t="s">
        <v>189</v>
      </c>
      <c r="D774" s="126" t="s">
        <v>326</v>
      </c>
      <c r="E774" s="126">
        <v>0.3</v>
      </c>
    </row>
    <row r="775" spans="1:5">
      <c r="A775" s="80" t="s">
        <v>30</v>
      </c>
      <c r="B775" s="127" t="str">
        <f>"Gemeinde"&amp;_xlfn.XLOOKUP(A775,Auswahlliste!E:E,Auswahlliste!D:D,FALSE,FALSE)</f>
        <v>Gemeinde80</v>
      </c>
      <c r="C775" s="129" t="s">
        <v>190</v>
      </c>
      <c r="D775" s="126" t="s">
        <v>355</v>
      </c>
      <c r="E775" s="126">
        <v>0.3</v>
      </c>
    </row>
    <row r="776" spans="1:5">
      <c r="A776" s="80" t="s">
        <v>30</v>
      </c>
      <c r="B776" s="127" t="str">
        <f>"Gemeinde"&amp;_xlfn.XLOOKUP(A776,Auswahlliste!E:E,Auswahlliste!D:D,FALSE,FALSE)</f>
        <v>Gemeinde80</v>
      </c>
      <c r="C776" s="129" t="s">
        <v>473</v>
      </c>
      <c r="D776" s="126" t="s">
        <v>332</v>
      </c>
      <c r="E776" s="126">
        <v>0.25</v>
      </c>
    </row>
    <row r="777" spans="1:5">
      <c r="A777" t="s">
        <v>30</v>
      </c>
      <c r="B777" s="127" t="str">
        <f>"Gemeinde"&amp;_xlfn.XLOOKUP(A777,Auswahlliste!E:E,Auswahlliste!D:D,FALSE,FALSE)</f>
        <v>Gemeinde80</v>
      </c>
      <c r="C777" s="133" t="s">
        <v>474</v>
      </c>
      <c r="D777" s="136" t="s">
        <v>334</v>
      </c>
      <c r="E777" s="136">
        <v>0.3</v>
      </c>
    </row>
    <row r="778" spans="1:5">
      <c r="A778" s="80" t="s">
        <v>30</v>
      </c>
      <c r="B778" s="127" t="str">
        <f>"Gemeinde"&amp;_xlfn.XLOOKUP(A778,Auswahlliste!E:E,Auswahlliste!D:D,FALSE,FALSE)</f>
        <v>Gemeinde80</v>
      </c>
      <c r="C778" s="129" t="s">
        <v>475</v>
      </c>
      <c r="D778" s="126" t="s">
        <v>361</v>
      </c>
      <c r="E778" s="126">
        <v>0.3</v>
      </c>
    </row>
    <row r="779" spans="1:5">
      <c r="A779" s="80" t="s">
        <v>30</v>
      </c>
      <c r="B779" s="127" t="str">
        <f>"Gemeinde"&amp;_xlfn.XLOOKUP(A779,Auswahlliste!E:E,Auswahlliste!D:D,FALSE,FALSE)</f>
        <v>Gemeinde80</v>
      </c>
      <c r="C779" s="129" t="s">
        <v>397</v>
      </c>
      <c r="D779" s="126" t="s">
        <v>309</v>
      </c>
      <c r="E779" s="126">
        <v>0.6</v>
      </c>
    </row>
    <row r="780" spans="1:5">
      <c r="A780" s="80" t="s">
        <v>30</v>
      </c>
      <c r="B780" s="127" t="str">
        <f>"Gemeinde"&amp;_xlfn.XLOOKUP(A780,Auswahlliste!E:E,Auswahlliste!D:D,FALSE,FALSE)</f>
        <v>Gemeinde80</v>
      </c>
      <c r="C780" s="129" t="s">
        <v>340</v>
      </c>
      <c r="D780" s="126" t="s">
        <v>341</v>
      </c>
      <c r="E780" s="126">
        <v>0.6</v>
      </c>
    </row>
    <row r="781" spans="1:5">
      <c r="A781" s="80" t="s">
        <v>30</v>
      </c>
      <c r="B781" s="127" t="str">
        <f>"Gemeinde"&amp;_xlfn.XLOOKUP(A781,Auswahlliste!E:E,Auswahlliste!D:D,FALSE,FALSE)</f>
        <v>Gemeinde80</v>
      </c>
      <c r="C781" s="129" t="s">
        <v>433</v>
      </c>
      <c r="D781" s="126" t="s">
        <v>434</v>
      </c>
      <c r="E781" s="126">
        <v>0.6</v>
      </c>
    </row>
    <row r="782" spans="1:5">
      <c r="A782" s="80" t="s">
        <v>30</v>
      </c>
      <c r="B782" s="127" t="str">
        <f>"Gemeinde"&amp;_xlfn.XLOOKUP(A782,Auswahlliste!E:E,Auswahlliste!D:D,FALSE,FALSE)</f>
        <v>Gemeinde80</v>
      </c>
      <c r="C782" s="129" t="s">
        <v>343</v>
      </c>
      <c r="D782" s="126" t="s">
        <v>344</v>
      </c>
      <c r="E782" s="126">
        <v>0.35</v>
      </c>
    </row>
    <row r="783" spans="1:5">
      <c r="A783" s="80" t="s">
        <v>30</v>
      </c>
      <c r="B783" s="127" t="str">
        <f>"Gemeinde"&amp;_xlfn.XLOOKUP(A783,Auswahlliste!E:E,Auswahlliste!D:D,FALSE,FALSE)</f>
        <v>Gemeinde80</v>
      </c>
      <c r="C783" s="129" t="s">
        <v>15</v>
      </c>
      <c r="D783" s="126" t="s">
        <v>386</v>
      </c>
      <c r="E783" s="126">
        <v>0.5</v>
      </c>
    </row>
    <row r="784" spans="1:5">
      <c r="A784" s="80" t="s">
        <v>96</v>
      </c>
      <c r="B784" s="127" t="str">
        <f>"Gemeinde"&amp;_xlfn.XLOOKUP(A784,Auswahlliste!E:E,Auswahlliste!D:D,FALSE,FALSE)</f>
        <v>Gemeinde81</v>
      </c>
      <c r="C784" s="129" t="s">
        <v>532</v>
      </c>
      <c r="D784" s="126" t="s">
        <v>375</v>
      </c>
      <c r="E784" s="126">
        <v>0.25</v>
      </c>
    </row>
    <row r="785" spans="1:5">
      <c r="A785" s="80" t="s">
        <v>96</v>
      </c>
      <c r="B785" s="127" t="str">
        <f>"Gemeinde"&amp;_xlfn.XLOOKUP(A785,Auswahlliste!E:E,Auswahlliste!D:D,FALSE,FALSE)</f>
        <v>Gemeinde81</v>
      </c>
      <c r="C785" s="129" t="s">
        <v>533</v>
      </c>
      <c r="D785" s="126" t="s">
        <v>375</v>
      </c>
      <c r="E785" s="126">
        <v>0.3</v>
      </c>
    </row>
    <row r="786" spans="1:5">
      <c r="A786" s="80" t="s">
        <v>96</v>
      </c>
      <c r="B786" s="127" t="str">
        <f>"Gemeinde"&amp;_xlfn.XLOOKUP(A786,Auswahlliste!E:E,Auswahlliste!D:D,FALSE,FALSE)</f>
        <v>Gemeinde81</v>
      </c>
      <c r="C786" s="129" t="s">
        <v>435</v>
      </c>
      <c r="D786" s="126" t="s">
        <v>367</v>
      </c>
      <c r="E786" s="126">
        <v>0.25</v>
      </c>
    </row>
    <row r="787" spans="1:5">
      <c r="A787" s="80" t="s">
        <v>96</v>
      </c>
      <c r="B787" s="127" t="str">
        <f>"Gemeinde"&amp;_xlfn.XLOOKUP(A787,Auswahlliste!E:E,Auswahlliste!D:D,FALSE,FALSE)</f>
        <v>Gemeinde81</v>
      </c>
      <c r="C787" s="129" t="s">
        <v>189</v>
      </c>
      <c r="D787" s="126" t="s">
        <v>326</v>
      </c>
      <c r="E787" s="126">
        <v>0.35</v>
      </c>
    </row>
    <row r="788" spans="1:5">
      <c r="A788" s="80" t="s">
        <v>96</v>
      </c>
      <c r="B788" s="127" t="str">
        <f>"Gemeinde"&amp;_xlfn.XLOOKUP(A788,Auswahlliste!E:E,Auswahlliste!D:D,FALSE,FALSE)</f>
        <v>Gemeinde81</v>
      </c>
      <c r="C788" s="129" t="s">
        <v>473</v>
      </c>
      <c r="D788" s="126" t="s">
        <v>332</v>
      </c>
      <c r="E788" s="126">
        <v>0.35</v>
      </c>
    </row>
    <row r="789" spans="1:5">
      <c r="A789" s="80" t="s">
        <v>96</v>
      </c>
      <c r="B789" s="127" t="str">
        <f>"Gemeinde"&amp;_xlfn.XLOOKUP(A789,Auswahlliste!E:E,Auswahlliste!D:D,FALSE,FALSE)</f>
        <v>Gemeinde81</v>
      </c>
      <c r="C789" s="129" t="s">
        <v>474</v>
      </c>
      <c r="D789" s="126" t="s">
        <v>334</v>
      </c>
      <c r="E789" s="126">
        <v>0.4</v>
      </c>
    </row>
    <row r="790" spans="1:5">
      <c r="A790" s="80" t="s">
        <v>96</v>
      </c>
      <c r="B790" s="127" t="str">
        <f>"Gemeinde"&amp;_xlfn.XLOOKUP(A790,Auswahlliste!E:E,Auswahlliste!D:D,FALSE,FALSE)</f>
        <v>Gemeinde81</v>
      </c>
      <c r="C790" s="129" t="s">
        <v>534</v>
      </c>
      <c r="D790" s="126" t="s">
        <v>382</v>
      </c>
      <c r="E790" s="126">
        <v>0.5</v>
      </c>
    </row>
    <row r="791" spans="1:5">
      <c r="A791" s="80" t="s">
        <v>96</v>
      </c>
      <c r="B791" s="127" t="str">
        <f>"Gemeinde"&amp;_xlfn.XLOOKUP(A791,Auswahlliste!E:E,Auswahlliste!D:D,FALSE,FALSE)</f>
        <v>Gemeinde81</v>
      </c>
      <c r="C791" s="129" t="s">
        <v>535</v>
      </c>
      <c r="D791" s="126" t="s">
        <v>531</v>
      </c>
      <c r="E791" s="126">
        <v>0.5</v>
      </c>
    </row>
    <row r="792" spans="1:5">
      <c r="A792" s="80" t="s">
        <v>96</v>
      </c>
      <c r="B792" s="127" t="str">
        <f>"Gemeinde"&amp;_xlfn.XLOOKUP(A792,Auswahlliste!E:E,Auswahlliste!D:D,FALSE,FALSE)</f>
        <v>Gemeinde81</v>
      </c>
      <c r="C792" s="129" t="s">
        <v>196</v>
      </c>
      <c r="D792" s="126" t="s">
        <v>297</v>
      </c>
      <c r="E792" s="126">
        <v>0.35</v>
      </c>
    </row>
    <row r="793" spans="1:5">
      <c r="A793" t="s">
        <v>96</v>
      </c>
      <c r="B793" s="127" t="str">
        <f>"Gemeinde"&amp;_xlfn.XLOOKUP(A793,Auswahlliste!E:E,Auswahlliste!D:D,FALSE,FALSE)</f>
        <v>Gemeinde81</v>
      </c>
      <c r="C793" s="129" t="s">
        <v>13</v>
      </c>
      <c r="D793" s="126" t="s">
        <v>432</v>
      </c>
      <c r="E793" s="126">
        <v>0.3</v>
      </c>
    </row>
    <row r="794" spans="1:5">
      <c r="A794" t="s">
        <v>96</v>
      </c>
      <c r="B794" s="127" t="str">
        <f>"Gemeinde"&amp;_xlfn.XLOOKUP(A794,Auswahlliste!E:E,Auswahlliste!D:D,FALSE,FALSE)</f>
        <v>Gemeinde81</v>
      </c>
      <c r="C794" s="129" t="s">
        <v>15</v>
      </c>
      <c r="D794" s="126" t="s">
        <v>449</v>
      </c>
      <c r="E794" s="126">
        <v>0.35</v>
      </c>
    </row>
    <row r="795" spans="1:5">
      <c r="A795" t="s">
        <v>40</v>
      </c>
      <c r="B795" s="127" t="str">
        <f>"Gemeinde"&amp;_xlfn.XLOOKUP(A795,Auswahlliste!E:E,Auswahlliste!D:D,FALSE,FALSE)</f>
        <v>Gemeinde54</v>
      </c>
      <c r="C795" s="129" t="s">
        <v>732</v>
      </c>
      <c r="D795" s="126"/>
      <c r="E795" s="126"/>
    </row>
    <row r="796" spans="1:5">
      <c r="A796" t="s">
        <v>41</v>
      </c>
      <c r="B796" s="127" t="str">
        <f>"Gemeinde"&amp;_xlfn.XLOOKUP(A796,Auswahlliste!E:E,Auswahlliste!D:D,FALSE,FALSE)</f>
        <v>Gemeinde53</v>
      </c>
      <c r="C796" s="129" t="s">
        <v>733</v>
      </c>
      <c r="D796" s="126"/>
      <c r="E796" s="126"/>
    </row>
    <row r="797" spans="1:5">
      <c r="A797" t="s">
        <v>98</v>
      </c>
      <c r="B797" s="127" t="str">
        <f>"Gemeinde"&amp;_xlfn.XLOOKUP(A797,Auswahlliste!E:E,Auswahlliste!D:D,FALSE,FALSE)</f>
        <v>Gemeinde41</v>
      </c>
      <c r="C797" s="129" t="s">
        <v>733</v>
      </c>
      <c r="D797" s="126"/>
      <c r="E797" s="126"/>
    </row>
    <row r="798" spans="1:5">
      <c r="A798" t="s">
        <v>85</v>
      </c>
      <c r="B798" s="127" t="str">
        <f>"Gemeinde"&amp;_xlfn.XLOOKUP(A798,Auswahlliste!E:E,Auswahlliste!D:D,FALSE,FALSE)</f>
        <v>Gemeinde39</v>
      </c>
      <c r="C798" s="129" t="s">
        <v>733</v>
      </c>
      <c r="D798" s="126"/>
      <c r="E798" s="126"/>
    </row>
    <row r="799" spans="1:5">
      <c r="A799" t="s">
        <v>66</v>
      </c>
      <c r="B799" s="127" t="str">
        <f>"Gemeinde"&amp;_xlfn.XLOOKUP(A799,Auswahlliste!E:E,Auswahlliste!D:D,FALSE,FALSE)</f>
        <v>Gemeinde35</v>
      </c>
      <c r="C799" s="129" t="s">
        <v>733</v>
      </c>
      <c r="D799" s="126"/>
      <c r="E799" s="126"/>
    </row>
    <row r="800" spans="1:5">
      <c r="A800" t="s">
        <v>33</v>
      </c>
      <c r="B800" s="127" t="str">
        <f>"Gemeinde"&amp;_xlfn.XLOOKUP(A800,Auswahlliste!E:E,Auswahlliste!D:D,FALSE,FALSE)</f>
        <v>Gemeinde36</v>
      </c>
      <c r="C800" s="129" t="s">
        <v>731</v>
      </c>
      <c r="D800" s="126"/>
      <c r="E800" s="126"/>
    </row>
    <row r="801" spans="1:5">
      <c r="A801" t="s">
        <v>79</v>
      </c>
      <c r="B801" s="127" t="str">
        <f>"Gemeinde"&amp;_xlfn.XLOOKUP(A801,Auswahlliste!E:E,Auswahlliste!D:D,FALSE,FALSE)</f>
        <v>Gemeinde19</v>
      </c>
      <c r="C801" s="129" t="s">
        <v>733</v>
      </c>
      <c r="D801" s="126"/>
      <c r="E801" s="126"/>
    </row>
    <row r="802" spans="1:5">
      <c r="A802" t="s">
        <v>47</v>
      </c>
      <c r="B802" s="127" t="str">
        <f>"Gemeinde"&amp;_xlfn.XLOOKUP(A802,Auswahlliste!E:E,Auswahlliste!D:D,FALSE,FALSE)</f>
        <v>Gemeinde6</v>
      </c>
      <c r="C802" s="129" t="s">
        <v>735</v>
      </c>
      <c r="D802" s="126"/>
      <c r="E802" s="126"/>
    </row>
    <row r="803" spans="1:5">
      <c r="A803" t="s">
        <v>101</v>
      </c>
      <c r="B803" s="127" t="str">
        <f>"Gemeinde"&amp;_xlfn.XLOOKUP(A803,Auswahlliste!E:E,Auswahlliste!D:D,FALSE,FALSE)</f>
        <v>Gemeinde3</v>
      </c>
      <c r="C803" s="129" t="s">
        <v>731</v>
      </c>
      <c r="D803" s="126"/>
      <c r="E803" s="126"/>
    </row>
    <row r="804" spans="1:5">
      <c r="A804" t="s">
        <v>102</v>
      </c>
      <c r="B804" s="127" t="str">
        <f>"Gemeinde"&amp;_xlfn.XLOOKUP(A804,Auswahlliste!E:E,Auswahlliste!D:D,FALSE,FALSE)</f>
        <v>Gemeinde70</v>
      </c>
      <c r="C804" s="129" t="s">
        <v>439</v>
      </c>
      <c r="D804" s="126" t="s">
        <v>375</v>
      </c>
      <c r="E804" s="126">
        <v>0.3</v>
      </c>
    </row>
    <row r="805" spans="1:5">
      <c r="A805" t="s">
        <v>102</v>
      </c>
      <c r="B805" s="127" t="str">
        <f>"Gemeinde"&amp;_xlfn.XLOOKUP(A805,Auswahlliste!E:E,Auswahlliste!D:D,FALSE,FALSE)</f>
        <v>Gemeinde70</v>
      </c>
      <c r="C805" s="129" t="s">
        <v>435</v>
      </c>
      <c r="D805" s="126" t="s">
        <v>367</v>
      </c>
      <c r="E805" s="126">
        <v>0.35</v>
      </c>
    </row>
    <row r="806" spans="1:5">
      <c r="A806" t="s">
        <v>102</v>
      </c>
      <c r="B806" s="127" t="str">
        <f>"Gemeinde"&amp;_xlfn.XLOOKUP(A806,Auswahlliste!E:E,Auswahlliste!D:D,FALSE,FALSE)</f>
        <v>Gemeinde70</v>
      </c>
      <c r="C806" s="129" t="s">
        <v>473</v>
      </c>
      <c r="D806" s="126" t="s">
        <v>332</v>
      </c>
      <c r="E806" s="126">
        <v>0.45</v>
      </c>
    </row>
    <row r="807" spans="1:5">
      <c r="A807" t="s">
        <v>102</v>
      </c>
      <c r="B807" s="127" t="str">
        <f>"Gemeinde"&amp;_xlfn.XLOOKUP(A807,Auswahlliste!E:E,Auswahlliste!D:D,FALSE,FALSE)</f>
        <v>Gemeinde70</v>
      </c>
      <c r="C807" s="129" t="s">
        <v>474</v>
      </c>
      <c r="D807" s="126" t="s">
        <v>334</v>
      </c>
      <c r="E807" s="126">
        <v>0.5</v>
      </c>
    </row>
    <row r="808" spans="1:5">
      <c r="A808" t="s">
        <v>102</v>
      </c>
      <c r="B808" s="127" t="str">
        <f>"Gemeinde"&amp;_xlfn.XLOOKUP(A808,Auswahlliste!E:E,Auswahlliste!D:D,FALSE,FALSE)</f>
        <v>Gemeinde70</v>
      </c>
      <c r="C808" s="129" t="s">
        <v>815</v>
      </c>
      <c r="D808" s="126" t="s">
        <v>816</v>
      </c>
      <c r="E808" s="126">
        <v>0.5</v>
      </c>
    </row>
    <row r="809" spans="1:5">
      <c r="A809" t="s">
        <v>102</v>
      </c>
      <c r="B809" s="127" t="str">
        <f>"Gemeinde"&amp;_xlfn.XLOOKUP(A809,Auswahlliste!E:E,Auswahlliste!D:D,FALSE,FALSE)</f>
        <v>Gemeinde70</v>
      </c>
      <c r="C809" s="129" t="s">
        <v>817</v>
      </c>
      <c r="D809" s="126" t="s">
        <v>311</v>
      </c>
      <c r="E809" s="126">
        <v>0.55000000000000004</v>
      </c>
    </row>
    <row r="810" spans="1:5">
      <c r="A810" t="s">
        <v>102</v>
      </c>
      <c r="B810" s="127" t="str">
        <f>"Gemeinde"&amp;_xlfn.XLOOKUP(A810,Auswahlliste!E:E,Auswahlliste!D:D,FALSE,FALSE)</f>
        <v>Gemeinde70</v>
      </c>
      <c r="C810" s="129" t="s">
        <v>459</v>
      </c>
      <c r="D810" s="126" t="s">
        <v>297</v>
      </c>
      <c r="E810" s="126">
        <v>0.55000000000000004</v>
      </c>
    </row>
    <row r="811" spans="1:5">
      <c r="A811" t="s">
        <v>102</v>
      </c>
      <c r="B811" s="127" t="str">
        <f>"Gemeinde"&amp;_xlfn.XLOOKUP(A811,Auswahlliste!E:E,Auswahlliste!D:D,FALSE,FALSE)</f>
        <v>Gemeinde70</v>
      </c>
      <c r="C811" s="129" t="s">
        <v>460</v>
      </c>
      <c r="D811" s="126" t="s">
        <v>346</v>
      </c>
      <c r="E811" s="126">
        <v>0.6</v>
      </c>
    </row>
    <row r="812" spans="1:5">
      <c r="A812" t="s">
        <v>102</v>
      </c>
      <c r="B812" s="127" t="str">
        <f>"Gemeinde"&amp;_xlfn.XLOOKUP(A812,Auswahlliste!E:E,Auswahlliste!D:D,FALSE,FALSE)</f>
        <v>Gemeinde70</v>
      </c>
      <c r="C812" s="129" t="s">
        <v>15</v>
      </c>
      <c r="D812" s="126" t="s">
        <v>386</v>
      </c>
      <c r="E812" s="126">
        <v>0.35</v>
      </c>
    </row>
    <row r="813" spans="1:5">
      <c r="A813" t="s">
        <v>102</v>
      </c>
      <c r="B813" s="127" t="str">
        <f>"Gemeinde"&amp;_xlfn.XLOOKUP(A813,Auswahlliste!E:E,Auswahlliste!D:D,FALSE,FALSE)</f>
        <v>Gemeinde70</v>
      </c>
      <c r="C813" s="129" t="s">
        <v>373</v>
      </c>
      <c r="D813" s="126" t="s">
        <v>319</v>
      </c>
      <c r="E813" s="126">
        <v>0.9</v>
      </c>
    </row>
  </sheetData>
  <sheetProtection algorithmName="SHA-512" hashValue="eCZRG5UkCb/MgR9KYTMcrTDoTa3M2Ut93l+qcmmpVfSyM+0yuIyBihs/bI0NtPQrIhuLFukyi3rNVhvlo0/IEA==" saltValue="BJ39vMmkrNvqiFLPHcQtnA==" spinCount="100000" sheet="1" objects="1" scenarios="1"/>
  <sortState xmlns:xlrd2="http://schemas.microsoft.com/office/spreadsheetml/2017/richdata2" ref="A2:E779">
    <sortCondition ref="A2:A779"/>
  </sortState>
  <phoneticPr fontId="52" type="noConversion"/>
  <pageMargins left="0.7" right="0.7" top="0.78740157499999996" bottom="0.78740157499999996"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BFA1D-3BC4-444F-A2DA-B2E9E5159D1B}">
  <sheetPr codeName="Tabelle6">
    <pageSetUpPr fitToPage="1"/>
  </sheetPr>
  <dimension ref="A1:AA280"/>
  <sheetViews>
    <sheetView zoomScale="85" zoomScaleNormal="85" workbookViewId="0">
      <selection activeCell="Q12" sqref="Q12"/>
    </sheetView>
  </sheetViews>
  <sheetFormatPr baseColWidth="10" defaultColWidth="11.42578125" defaultRowHeight="12.75"/>
  <cols>
    <col min="1" max="1" width="48.140625" style="31" customWidth="1"/>
    <col min="2" max="2" width="11.42578125" style="31"/>
    <col min="3" max="3" width="9.140625" style="31" customWidth="1"/>
    <col min="4" max="7" width="11.42578125" style="31"/>
    <col min="8" max="8" width="6" style="31" customWidth="1"/>
    <col min="9" max="10" width="19" style="31" customWidth="1"/>
    <col min="11" max="11" width="11.42578125" style="31"/>
    <col min="12" max="12" width="18.28515625" style="31" customWidth="1"/>
    <col min="13" max="13" width="11.42578125" style="31"/>
    <col min="14" max="14" width="8.140625" style="31" customWidth="1"/>
    <col min="15" max="15" width="7.5703125" style="31" customWidth="1"/>
    <col min="16" max="16" width="14.28515625" style="31" bestFit="1" customWidth="1"/>
    <col min="17" max="17" width="38.140625" style="31" customWidth="1"/>
    <col min="18" max="18" width="7" style="31" customWidth="1"/>
    <col min="19" max="19" width="13.42578125" style="31" customWidth="1"/>
    <col min="20" max="20" width="11.42578125" style="31"/>
    <col min="21" max="21" width="8.140625" style="31" customWidth="1"/>
    <col min="22" max="22" width="15.28515625" style="31" bestFit="1" customWidth="1"/>
    <col min="23" max="23" width="11.42578125" style="31"/>
    <col min="24" max="24" width="5.85546875" style="31" customWidth="1"/>
    <col min="25" max="25" width="11.42578125" style="31"/>
    <col min="26" max="26" width="11.42578125" style="32"/>
    <col min="27" max="27" width="2.5703125" style="31" customWidth="1"/>
    <col min="28" max="28" width="16.7109375" style="31" bestFit="1" customWidth="1"/>
    <col min="29" max="29" width="11.42578125" style="31"/>
    <col min="30" max="30" width="3.42578125" style="31" customWidth="1"/>
    <col min="31" max="31" width="13.42578125" style="31" bestFit="1" customWidth="1"/>
    <col min="32" max="32" width="11.42578125" style="31"/>
    <col min="33" max="33" width="3.42578125" style="31" customWidth="1"/>
    <col min="34" max="34" width="13.42578125" style="31" bestFit="1" customWidth="1"/>
    <col min="35" max="35" width="11.42578125" style="31"/>
    <col min="36" max="36" width="4" style="31" customWidth="1"/>
    <col min="37" max="37" width="20.85546875" style="31" customWidth="1"/>
    <col min="38" max="38" width="11.42578125" style="31"/>
    <col min="39" max="39" width="2.85546875" style="31" customWidth="1"/>
    <col min="40" max="40" width="22.7109375" style="31" bestFit="1" customWidth="1"/>
    <col min="41" max="41" width="11.42578125" style="31"/>
    <col min="42" max="42" width="3.7109375" style="31" customWidth="1"/>
    <col min="43" max="43" width="19.85546875" style="31" bestFit="1" customWidth="1"/>
    <col min="44" max="44" width="11.42578125" style="31"/>
    <col min="45" max="45" width="3.5703125" style="31" customWidth="1"/>
    <col min="46" max="46" width="29.7109375" style="31" bestFit="1" customWidth="1"/>
    <col min="47" max="47" width="11.42578125" style="31"/>
    <col min="48" max="48" width="3.5703125" style="31" customWidth="1"/>
    <col min="49" max="49" width="16.140625" style="31" customWidth="1"/>
    <col min="50" max="50" width="11.42578125" style="31"/>
    <col min="51" max="51" width="3.5703125" style="31" customWidth="1"/>
    <col min="52" max="52" width="13" style="31" customWidth="1"/>
    <col min="53" max="53" width="11.42578125" style="31"/>
    <col min="54" max="54" width="3.5703125" style="31" customWidth="1"/>
    <col min="55" max="55" width="13" style="31" customWidth="1"/>
    <col min="56" max="56" width="11.42578125" style="31"/>
    <col min="57" max="57" width="2.5703125" style="31" customWidth="1"/>
    <col min="58" max="58" width="14.42578125" style="31" bestFit="1" customWidth="1"/>
    <col min="59" max="59" width="11.42578125" style="31"/>
    <col min="60" max="60" width="2.5703125" style="31" customWidth="1"/>
    <col min="61" max="61" width="14.42578125" style="31" bestFit="1" customWidth="1"/>
    <col min="62" max="62" width="11.42578125" style="31"/>
    <col min="63" max="63" width="2.85546875" style="31" customWidth="1"/>
    <col min="64" max="64" width="19.85546875" style="31" bestFit="1" customWidth="1"/>
    <col min="65" max="16384" width="11.42578125" style="31"/>
  </cols>
  <sheetData>
    <row r="1" spans="1:26" ht="20.25">
      <c r="A1" s="67" t="s">
        <v>274</v>
      </c>
      <c r="P1" s="31" t="s">
        <v>713</v>
      </c>
      <c r="Q1" s="31" t="str" cm="1">
        <f t="array" ref="Q1">_xlfn._xlws.FILTER(Abflussbeiwerte[Zone],(Abflussbeiwerte[Gemeindenr] = "Gemeinde"&amp;B8),"Nothing Found")</f>
        <v>Alle Zonen</v>
      </c>
    </row>
    <row r="2" spans="1:26" ht="15.75">
      <c r="A2" s="66"/>
      <c r="P2" s="31" t="str">
        <f>"Gemeinde"&amp;B8</f>
        <v>Gemeinde23</v>
      </c>
    </row>
    <row r="4" spans="1:26">
      <c r="A4" s="34"/>
      <c r="Z4" s="31"/>
    </row>
    <row r="5" spans="1:26">
      <c r="Z5" s="31"/>
    </row>
    <row r="6" spans="1:26">
      <c r="A6" s="34" t="s">
        <v>164</v>
      </c>
      <c r="D6" s="64" t="s">
        <v>163</v>
      </c>
      <c r="Z6" s="31"/>
    </row>
    <row r="7" spans="1:26">
      <c r="A7" s="34"/>
      <c r="E7" s="65"/>
      <c r="Z7" s="31"/>
    </row>
    <row r="8" spans="1:26">
      <c r="A8" s="31" t="s">
        <v>162</v>
      </c>
      <c r="B8" s="57">
        <v>23</v>
      </c>
      <c r="D8" s="31" t="s">
        <v>155</v>
      </c>
      <c r="H8" s="31" t="s">
        <v>179</v>
      </c>
      <c r="J8" s="31" t="s">
        <v>181</v>
      </c>
      <c r="Z8" s="31"/>
    </row>
    <row r="9" spans="1:26">
      <c r="A9" s="31" t="s">
        <v>178</v>
      </c>
      <c r="B9" s="70" t="str">
        <f>VLOOKUP(B8,Auswahlliste!D2:F82,3,FALSE)</f>
        <v>Wartau</v>
      </c>
      <c r="H9" s="31">
        <f>MATCH(B9,Regen!A1:Z1,0)</f>
        <v>11</v>
      </c>
      <c r="I9" s="31" t="str">
        <f>SUBSTITUTE(ADDRESS(1,MATCH(B9,Regen!A1:W1,0),4),"1","")</f>
        <v>K</v>
      </c>
      <c r="J9" s="31">
        <f>MATCH(B9,Regen!A1:Z1,0)-1+B10</f>
        <v>11</v>
      </c>
      <c r="Z9" s="31"/>
    </row>
    <row r="10" spans="1:26">
      <c r="A10" s="65" t="s">
        <v>121</v>
      </c>
      <c r="B10" s="142">
        <v>1</v>
      </c>
      <c r="D10" s="31" t="s">
        <v>155</v>
      </c>
      <c r="H10" s="31">
        <f>MATCH(B9,Regen!A1:Z1,0)+3</f>
        <v>14</v>
      </c>
      <c r="I10" s="31" t="str">
        <f>SUBSTITUTE(ADDRESS(1,MATCH(B9,Regen!A1:W1,0)+3,4),"1","")</f>
        <v>N</v>
      </c>
      <c r="Z10" s="31"/>
    </row>
    <row r="11" spans="1:26">
      <c r="A11" s="31" t="s">
        <v>652</v>
      </c>
      <c r="B11" s="63">
        <f>Retentionsanlage!K49/10000</f>
        <v>0</v>
      </c>
      <c r="C11" s="31" t="s">
        <v>161</v>
      </c>
      <c r="D11" s="31" t="s">
        <v>282</v>
      </c>
      <c r="Z11" s="31"/>
    </row>
    <row r="12" spans="1:26" ht="15.75">
      <c r="A12" s="31" t="s">
        <v>657</v>
      </c>
      <c r="B12" s="62">
        <f>Retentionsanlage!E58</f>
        <v>0.1</v>
      </c>
      <c r="D12" s="31" t="s">
        <v>282</v>
      </c>
      <c r="H12" s="31" t="s">
        <v>180</v>
      </c>
      <c r="Z12" s="31"/>
    </row>
    <row r="13" spans="1:26">
      <c r="I13" s="31" cm="1">
        <f t="array" ref="I13">INDEX(Regen!A4:Z123,10,Berechnung_Einleitung!H9)</f>
        <v>117.94635700000001</v>
      </c>
      <c r="Z13" s="31"/>
    </row>
    <row r="14" spans="1:26">
      <c r="A14" s="60"/>
      <c r="D14" s="58"/>
      <c r="I14" s="34" cm="1">
        <f t="array" ref="I14">INDEX(Regen!A1:Z123,MATCH(I15,Regen!A:A,0),Berechnung_Einleitung!J9)</f>
        <v>174.84957499999999</v>
      </c>
      <c r="Z14" s="31"/>
    </row>
    <row r="15" spans="1:26">
      <c r="H15" s="31" t="s">
        <v>119</v>
      </c>
      <c r="I15" s="31">
        <v>5</v>
      </c>
      <c r="J15" s="31" t="s">
        <v>112</v>
      </c>
      <c r="Z15" s="31"/>
    </row>
    <row r="16" spans="1:26">
      <c r="Z16" s="31"/>
    </row>
    <row r="17" spans="1:27">
      <c r="A17" s="65"/>
      <c r="H17" s="31" t="s">
        <v>183</v>
      </c>
      <c r="J17" s="31" cm="1">
        <f t="array" ref="J17">INDEX(Regen!$A$1:$Z$123,MATCH(M17,Regen!$A:$A,0),Berechnung_Einleitung!$J$9)</f>
        <v>117.94635700000001</v>
      </c>
      <c r="K17" s="31" t="s">
        <v>185</v>
      </c>
      <c r="M17" s="31">
        <v>10</v>
      </c>
      <c r="N17" s="31" t="s">
        <v>184</v>
      </c>
      <c r="Z17" s="31"/>
    </row>
    <row r="18" spans="1:27">
      <c r="K18" s="31" t="s">
        <v>186</v>
      </c>
      <c r="Z18" s="31"/>
    </row>
    <row r="19" spans="1:27">
      <c r="Z19" s="31"/>
    </row>
    <row r="20" spans="1:27">
      <c r="Z20" s="31"/>
    </row>
    <row r="21" spans="1:27">
      <c r="A21" s="65"/>
      <c r="Z21" s="31"/>
    </row>
    <row r="22" spans="1:27">
      <c r="A22" s="34"/>
      <c r="Z22" s="31"/>
    </row>
    <row r="23" spans="1:27">
      <c r="A23" s="34"/>
      <c r="Z23" s="31"/>
    </row>
    <row r="24" spans="1:27">
      <c r="A24" s="34"/>
      <c r="Z24" s="31"/>
    </row>
    <row r="25" spans="1:27">
      <c r="A25" s="34"/>
      <c r="Z25" s="31"/>
    </row>
    <row r="26" spans="1:27">
      <c r="A26" s="34"/>
      <c r="Z26" s="31"/>
    </row>
    <row r="27" spans="1:27">
      <c r="A27" s="34"/>
      <c r="G27" s="7"/>
      <c r="Z27" s="31"/>
    </row>
    <row r="28" spans="1:27">
      <c r="Z28" s="31"/>
    </row>
    <row r="29" spans="1:27">
      <c r="H29" s="7"/>
      <c r="K29" s="7"/>
      <c r="Q29" s="7"/>
      <c r="Z29" s="7"/>
      <c r="AA29" s="7"/>
    </row>
    <row r="30" spans="1:27">
      <c r="C30" s="7"/>
      <c r="F30" s="7"/>
      <c r="L30" s="7"/>
      <c r="U30" s="7"/>
      <c r="V30" s="7"/>
      <c r="Z30" s="31"/>
    </row>
    <row r="31" spans="1:27">
      <c r="H31" s="7"/>
      <c r="K31" s="7"/>
      <c r="Q31" s="7"/>
      <c r="Z31" s="7"/>
      <c r="AA31" s="7"/>
    </row>
    <row r="32" spans="1:27">
      <c r="H32" s="7"/>
      <c r="K32" s="7"/>
      <c r="Q32" s="7"/>
      <c r="Z32" s="7"/>
      <c r="AA32" s="7"/>
    </row>
    <row r="33" spans="3:27">
      <c r="H33" s="7"/>
      <c r="K33" s="7"/>
      <c r="Q33" s="7"/>
      <c r="Z33" s="7"/>
      <c r="AA33" s="7"/>
    </row>
    <row r="34" spans="3:27">
      <c r="H34" s="7"/>
      <c r="K34" s="7"/>
      <c r="Q34" s="7"/>
      <c r="Z34" s="7"/>
      <c r="AA34" s="7"/>
    </row>
    <row r="35" spans="3:27">
      <c r="H35" s="7"/>
      <c r="K35" s="7"/>
      <c r="Q35" s="7"/>
      <c r="Z35" s="7"/>
      <c r="AA35" s="7"/>
    </row>
    <row r="36" spans="3:27">
      <c r="H36" s="7"/>
      <c r="K36" s="7"/>
      <c r="Q36" s="7"/>
      <c r="Z36" s="7"/>
      <c r="AA36" s="7"/>
    </row>
    <row r="37" spans="3:27">
      <c r="H37" s="7"/>
      <c r="K37" s="7"/>
      <c r="Q37" s="7"/>
      <c r="Z37" s="7"/>
      <c r="AA37" s="7"/>
    </row>
    <row r="38" spans="3:27">
      <c r="H38" s="7"/>
      <c r="K38" s="7"/>
      <c r="Q38" s="7"/>
      <c r="Z38" s="7"/>
      <c r="AA38" s="7"/>
    </row>
    <row r="39" spans="3:27">
      <c r="H39" s="7"/>
      <c r="K39" s="7"/>
      <c r="Q39" s="7"/>
      <c r="Z39" s="7"/>
      <c r="AA39" s="7"/>
    </row>
    <row r="40" spans="3:27">
      <c r="H40" s="7"/>
      <c r="K40" s="7"/>
      <c r="Q40" s="7"/>
      <c r="Z40" s="7"/>
      <c r="AA40" s="7"/>
    </row>
    <row r="41" spans="3:27">
      <c r="H41" s="7"/>
      <c r="K41" s="7"/>
      <c r="Q41" s="7"/>
      <c r="Z41" s="7"/>
      <c r="AA41" s="7"/>
    </row>
    <row r="42" spans="3:27">
      <c r="C42" s="32"/>
      <c r="H42" s="7"/>
      <c r="K42" s="7"/>
      <c r="Q42" s="7"/>
      <c r="Z42" s="7"/>
      <c r="AA42" s="7"/>
    </row>
    <row r="43" spans="3:27">
      <c r="C43" s="32"/>
      <c r="H43" s="7"/>
      <c r="K43" s="7"/>
      <c r="Q43" s="7"/>
      <c r="Z43" s="7"/>
      <c r="AA43" s="7"/>
    </row>
    <row r="44" spans="3:27">
      <c r="C44" s="32"/>
      <c r="H44" s="7"/>
      <c r="K44" s="7"/>
      <c r="Q44" s="7"/>
      <c r="Z44" s="7"/>
      <c r="AA44" s="7"/>
    </row>
    <row r="45" spans="3:27">
      <c r="C45" s="32"/>
      <c r="H45" s="7"/>
      <c r="K45" s="7"/>
      <c r="Q45" s="7"/>
      <c r="Z45" s="7"/>
      <c r="AA45" s="7"/>
    </row>
    <row r="46" spans="3:27">
      <c r="C46" s="32"/>
      <c r="H46" s="7"/>
      <c r="K46" s="7"/>
      <c r="Q46" s="7"/>
      <c r="Z46" s="7"/>
      <c r="AA46" s="7"/>
    </row>
    <row r="47" spans="3:27">
      <c r="C47" s="32"/>
      <c r="H47" s="7"/>
      <c r="K47" s="7"/>
      <c r="Q47" s="7"/>
      <c r="Z47" s="7"/>
      <c r="AA47" s="7"/>
    </row>
    <row r="48" spans="3:27">
      <c r="C48" s="32"/>
      <c r="H48" s="7"/>
      <c r="K48" s="7"/>
      <c r="Q48" s="7"/>
      <c r="Z48" s="7"/>
      <c r="AA48" s="7"/>
    </row>
    <row r="49" spans="3:27">
      <c r="C49" s="32"/>
      <c r="H49" s="7"/>
      <c r="K49" s="7"/>
      <c r="Q49" s="7"/>
      <c r="Z49" s="7"/>
      <c r="AA49" s="7"/>
    </row>
    <row r="50" spans="3:27">
      <c r="C50" s="32"/>
      <c r="H50" s="7"/>
      <c r="K50" s="7"/>
      <c r="Q50" s="7"/>
      <c r="Z50" s="7"/>
      <c r="AA50" s="7"/>
    </row>
    <row r="51" spans="3:27">
      <c r="C51" s="32"/>
      <c r="H51" s="7"/>
      <c r="K51" s="7"/>
      <c r="Q51" s="7"/>
      <c r="Z51" s="7"/>
      <c r="AA51" s="7"/>
    </row>
    <row r="52" spans="3:27">
      <c r="C52" s="32"/>
      <c r="H52" s="7"/>
      <c r="K52" s="7"/>
      <c r="Q52" s="7"/>
      <c r="Z52" s="7"/>
      <c r="AA52" s="7"/>
    </row>
    <row r="53" spans="3:27">
      <c r="C53" s="32"/>
      <c r="H53" s="7"/>
      <c r="K53" s="7"/>
      <c r="Q53" s="7"/>
      <c r="Z53" s="7"/>
      <c r="AA53" s="7"/>
    </row>
    <row r="54" spans="3:27">
      <c r="C54" s="32"/>
      <c r="H54" s="7"/>
      <c r="K54" s="7"/>
      <c r="Q54" s="7"/>
      <c r="Z54" s="7"/>
      <c r="AA54" s="7"/>
    </row>
    <row r="55" spans="3:27">
      <c r="C55" s="32"/>
      <c r="H55" s="7"/>
      <c r="K55" s="7"/>
      <c r="Q55" s="7"/>
      <c r="Z55" s="7"/>
      <c r="AA55" s="7"/>
    </row>
    <row r="56" spans="3:27">
      <c r="C56" s="32"/>
      <c r="H56" s="7"/>
      <c r="K56" s="7"/>
      <c r="Q56" s="7"/>
      <c r="Z56" s="7"/>
      <c r="AA56" s="7"/>
    </row>
    <row r="57" spans="3:27">
      <c r="C57" s="32"/>
      <c r="H57" s="7"/>
      <c r="K57" s="7"/>
      <c r="Q57" s="7"/>
      <c r="Z57" s="7"/>
      <c r="AA57" s="7"/>
    </row>
    <row r="58" spans="3:27">
      <c r="C58" s="32"/>
      <c r="H58" s="7"/>
      <c r="K58" s="7"/>
      <c r="Q58" s="7"/>
      <c r="Z58" s="7"/>
      <c r="AA58" s="7"/>
    </row>
    <row r="59" spans="3:27">
      <c r="C59" s="32"/>
      <c r="H59" s="7"/>
      <c r="K59" s="7"/>
      <c r="Q59" s="7"/>
      <c r="Z59" s="7"/>
      <c r="AA59" s="7"/>
    </row>
    <row r="60" spans="3:27">
      <c r="C60" s="32"/>
      <c r="H60" s="7"/>
      <c r="K60" s="7"/>
      <c r="Q60" s="7"/>
      <c r="Z60" s="7"/>
      <c r="AA60" s="7"/>
    </row>
    <row r="61" spans="3:27">
      <c r="C61" s="32"/>
      <c r="H61" s="7"/>
      <c r="K61" s="7"/>
      <c r="Q61" s="7"/>
      <c r="Z61" s="7"/>
      <c r="AA61" s="7"/>
    </row>
    <row r="62" spans="3:27">
      <c r="C62" s="32"/>
      <c r="H62" s="7"/>
      <c r="K62" s="7"/>
      <c r="Q62" s="7"/>
      <c r="Z62" s="7"/>
      <c r="AA62" s="7"/>
    </row>
    <row r="63" spans="3:27">
      <c r="C63" s="32"/>
      <c r="H63" s="7"/>
      <c r="K63" s="7"/>
      <c r="Q63" s="7"/>
      <c r="Z63" s="7"/>
      <c r="AA63" s="7"/>
    </row>
    <row r="64" spans="3:27">
      <c r="C64" s="32"/>
      <c r="H64" s="7"/>
      <c r="K64" s="7"/>
      <c r="Q64" s="7"/>
      <c r="Z64" s="7"/>
      <c r="AA64" s="7"/>
    </row>
    <row r="65" spans="3:27">
      <c r="C65" s="32"/>
      <c r="H65" s="7"/>
      <c r="K65" s="7"/>
      <c r="Q65" s="7"/>
      <c r="Z65" s="7"/>
      <c r="AA65" s="7"/>
    </row>
    <row r="66" spans="3:27">
      <c r="C66" s="32"/>
      <c r="H66" s="7"/>
      <c r="K66" s="7"/>
      <c r="Q66" s="7"/>
      <c r="Z66" s="7"/>
      <c r="AA66" s="7"/>
    </row>
    <row r="67" spans="3:27">
      <c r="C67" s="32"/>
      <c r="H67" s="7"/>
      <c r="K67" s="7"/>
      <c r="Q67" s="7"/>
      <c r="Z67" s="7"/>
      <c r="AA67" s="7"/>
    </row>
    <row r="68" spans="3:27">
      <c r="C68" s="32"/>
      <c r="H68" s="7"/>
      <c r="K68" s="7"/>
      <c r="Q68" s="7"/>
      <c r="Z68" s="7"/>
      <c r="AA68" s="7"/>
    </row>
    <row r="69" spans="3:27">
      <c r="C69" s="32"/>
      <c r="H69" s="7"/>
      <c r="K69" s="7"/>
      <c r="Q69" s="7"/>
      <c r="Z69" s="7"/>
      <c r="AA69" s="7"/>
    </row>
    <row r="70" spans="3:27">
      <c r="C70" s="32"/>
      <c r="H70" s="7"/>
      <c r="K70" s="7"/>
      <c r="Q70" s="7"/>
      <c r="Z70" s="7"/>
      <c r="AA70" s="7"/>
    </row>
    <row r="71" spans="3:27">
      <c r="C71" s="32"/>
      <c r="H71" s="7"/>
      <c r="K71" s="7"/>
      <c r="Q71" s="7"/>
      <c r="Z71" s="7"/>
      <c r="AA71" s="7"/>
    </row>
    <row r="72" spans="3:27">
      <c r="C72" s="32"/>
      <c r="H72" s="7"/>
      <c r="K72" s="7"/>
      <c r="Q72" s="7"/>
      <c r="Z72" s="7"/>
      <c r="AA72" s="7"/>
    </row>
    <row r="73" spans="3:27">
      <c r="C73" s="32"/>
      <c r="H73" s="7"/>
      <c r="K73" s="7"/>
      <c r="Q73" s="7"/>
      <c r="Z73" s="7"/>
      <c r="AA73" s="7"/>
    </row>
    <row r="74" spans="3:27">
      <c r="C74" s="32"/>
      <c r="H74" s="7"/>
      <c r="K74" s="7"/>
      <c r="Q74" s="7"/>
      <c r="Z74" s="7"/>
      <c r="AA74" s="7"/>
    </row>
    <row r="75" spans="3:27">
      <c r="C75" s="32"/>
      <c r="H75" s="7"/>
      <c r="K75" s="7"/>
      <c r="Q75" s="7"/>
      <c r="Z75" s="7"/>
      <c r="AA75" s="7"/>
    </row>
    <row r="76" spans="3:27">
      <c r="C76" s="32"/>
      <c r="H76" s="7"/>
      <c r="K76" s="7"/>
      <c r="Q76" s="7"/>
      <c r="Z76" s="7"/>
      <c r="AA76" s="7"/>
    </row>
    <row r="77" spans="3:27">
      <c r="C77" s="32"/>
      <c r="H77" s="7"/>
      <c r="K77" s="7"/>
      <c r="Q77" s="7"/>
      <c r="Z77" s="7"/>
      <c r="AA77" s="7"/>
    </row>
    <row r="78" spans="3:27">
      <c r="C78" s="32"/>
      <c r="H78" s="7"/>
      <c r="K78" s="7"/>
      <c r="Q78" s="7"/>
      <c r="Z78" s="7"/>
      <c r="AA78" s="7"/>
    </row>
    <row r="79" spans="3:27">
      <c r="C79" s="32"/>
      <c r="H79" s="7"/>
      <c r="K79" s="7"/>
      <c r="Q79" s="7"/>
      <c r="Z79" s="7"/>
      <c r="AA79" s="7"/>
    </row>
    <row r="80" spans="3:27">
      <c r="C80" s="32"/>
      <c r="H80" s="7"/>
      <c r="K80" s="7"/>
      <c r="Q80" s="7"/>
      <c r="Z80" s="7"/>
      <c r="AA80" s="7"/>
    </row>
    <row r="81" spans="3:27">
      <c r="C81" s="32"/>
      <c r="H81" s="7"/>
      <c r="K81" s="7"/>
      <c r="Q81" s="7"/>
      <c r="Z81" s="7"/>
      <c r="AA81" s="7"/>
    </row>
    <row r="82" spans="3:27">
      <c r="C82" s="32"/>
      <c r="H82" s="7"/>
      <c r="K82" s="7"/>
      <c r="Q82" s="7"/>
      <c r="Z82" s="7"/>
      <c r="AA82" s="7"/>
    </row>
    <row r="83" spans="3:27">
      <c r="C83" s="32"/>
      <c r="H83" s="7"/>
      <c r="K83" s="7"/>
      <c r="Q83" s="7"/>
      <c r="Z83" s="7"/>
      <c r="AA83" s="7"/>
    </row>
    <row r="84" spans="3:27">
      <c r="C84" s="32"/>
      <c r="H84" s="7"/>
      <c r="K84" s="7"/>
      <c r="Q84" s="7"/>
      <c r="Z84" s="7"/>
      <c r="AA84" s="7"/>
    </row>
    <row r="85" spans="3:27">
      <c r="C85" s="32"/>
      <c r="H85" s="7"/>
      <c r="K85" s="7"/>
      <c r="Q85" s="7"/>
      <c r="Z85" s="7"/>
      <c r="AA85" s="7"/>
    </row>
    <row r="86" spans="3:27">
      <c r="C86" s="32"/>
      <c r="H86" s="7"/>
      <c r="K86" s="7"/>
      <c r="Q86" s="7"/>
      <c r="Z86" s="7"/>
      <c r="AA86" s="7"/>
    </row>
    <row r="87" spans="3:27">
      <c r="C87" s="32"/>
      <c r="H87" s="7"/>
      <c r="K87" s="7"/>
      <c r="Q87" s="7"/>
      <c r="Z87" s="7"/>
      <c r="AA87" s="7"/>
    </row>
    <row r="88" spans="3:27">
      <c r="C88" s="32"/>
      <c r="H88" s="7"/>
      <c r="K88" s="7"/>
      <c r="Q88" s="7"/>
      <c r="Z88" s="7"/>
      <c r="AA88" s="7"/>
    </row>
    <row r="89" spans="3:27">
      <c r="C89" s="32"/>
      <c r="H89" s="7"/>
      <c r="K89" s="7"/>
      <c r="Q89" s="7"/>
      <c r="Z89" s="7"/>
      <c r="AA89" s="7"/>
    </row>
    <row r="90" spans="3:27">
      <c r="C90" s="32"/>
      <c r="H90" s="7"/>
      <c r="K90" s="7"/>
      <c r="Q90" s="7"/>
      <c r="Z90" s="7"/>
      <c r="AA90" s="7"/>
    </row>
    <row r="91" spans="3:27">
      <c r="C91" s="32"/>
      <c r="H91" s="7"/>
      <c r="K91" s="7"/>
      <c r="Q91" s="7"/>
      <c r="Z91" s="7"/>
      <c r="AA91" s="7"/>
    </row>
    <row r="92" spans="3:27">
      <c r="C92" s="32"/>
      <c r="H92" s="7"/>
      <c r="K92" s="7"/>
      <c r="Q92" s="7"/>
      <c r="Z92" s="7"/>
      <c r="AA92" s="7"/>
    </row>
    <row r="93" spans="3:27">
      <c r="C93" s="32"/>
      <c r="H93" s="7"/>
      <c r="K93" s="7"/>
      <c r="Q93" s="7"/>
      <c r="Z93" s="7"/>
      <c r="AA93" s="7"/>
    </row>
    <row r="94" spans="3:27">
      <c r="C94" s="32"/>
      <c r="H94" s="7"/>
      <c r="K94" s="7"/>
      <c r="Q94" s="7"/>
      <c r="Z94" s="7"/>
      <c r="AA94" s="7"/>
    </row>
    <row r="95" spans="3:27">
      <c r="C95" s="32"/>
      <c r="H95" s="7"/>
      <c r="K95" s="7"/>
      <c r="Q95" s="7"/>
      <c r="Z95" s="7"/>
      <c r="AA95" s="7"/>
    </row>
    <row r="96" spans="3:27">
      <c r="C96" s="32"/>
      <c r="H96" s="7"/>
      <c r="K96" s="7"/>
      <c r="Q96" s="7"/>
      <c r="Z96" s="7"/>
      <c r="AA96" s="7"/>
    </row>
    <row r="97" spans="3:27">
      <c r="C97" s="32"/>
      <c r="H97" s="7"/>
      <c r="K97" s="7"/>
      <c r="Q97" s="7"/>
      <c r="Z97" s="7"/>
      <c r="AA97" s="7"/>
    </row>
    <row r="98" spans="3:27">
      <c r="C98" s="32"/>
      <c r="H98" s="7"/>
      <c r="K98" s="7"/>
      <c r="Q98" s="7"/>
      <c r="Z98" s="7"/>
      <c r="AA98" s="7"/>
    </row>
    <row r="99" spans="3:27">
      <c r="C99" s="32"/>
      <c r="H99" s="7"/>
      <c r="K99" s="7"/>
      <c r="Q99" s="7"/>
      <c r="Z99" s="7"/>
      <c r="AA99" s="7"/>
    </row>
    <row r="100" spans="3:27">
      <c r="C100" s="32"/>
      <c r="H100" s="7"/>
      <c r="K100" s="7"/>
      <c r="Q100" s="7"/>
      <c r="Z100" s="7"/>
      <c r="AA100" s="7"/>
    </row>
    <row r="101" spans="3:27">
      <c r="C101" s="32"/>
      <c r="H101" s="7"/>
      <c r="K101" s="7"/>
      <c r="Q101" s="7"/>
      <c r="Z101" s="7"/>
      <c r="AA101" s="7"/>
    </row>
    <row r="102" spans="3:27">
      <c r="C102" s="32"/>
      <c r="H102" s="7"/>
      <c r="K102" s="7"/>
      <c r="Q102" s="7"/>
      <c r="Z102" s="7"/>
      <c r="AA102" s="7"/>
    </row>
    <row r="103" spans="3:27">
      <c r="C103" s="32"/>
      <c r="H103" s="7"/>
      <c r="K103" s="7"/>
      <c r="Q103" s="7"/>
      <c r="Z103" s="7"/>
      <c r="AA103" s="7"/>
    </row>
    <row r="104" spans="3:27">
      <c r="C104" s="32"/>
      <c r="H104" s="7"/>
      <c r="K104" s="7"/>
      <c r="Q104" s="7"/>
      <c r="Z104" s="7"/>
      <c r="AA104" s="7"/>
    </row>
    <row r="105" spans="3:27">
      <c r="C105" s="32"/>
      <c r="H105" s="7"/>
      <c r="K105" s="7"/>
      <c r="Q105" s="7"/>
      <c r="Z105" s="7"/>
      <c r="AA105" s="7"/>
    </row>
    <row r="106" spans="3:27">
      <c r="C106" s="32"/>
      <c r="H106" s="7"/>
      <c r="K106" s="7"/>
      <c r="Q106" s="7"/>
      <c r="Z106" s="7"/>
      <c r="AA106" s="7"/>
    </row>
    <row r="107" spans="3:27">
      <c r="C107" s="32"/>
      <c r="H107" s="7"/>
      <c r="K107" s="7"/>
      <c r="Q107" s="7"/>
      <c r="Z107" s="7"/>
      <c r="AA107" s="7"/>
    </row>
    <row r="108" spans="3:27">
      <c r="C108" s="32"/>
      <c r="H108" s="7"/>
      <c r="K108" s="7"/>
      <c r="Q108" s="7"/>
      <c r="Z108" s="7"/>
      <c r="AA108" s="7"/>
    </row>
    <row r="109" spans="3:27">
      <c r="C109" s="32"/>
      <c r="H109" s="7"/>
      <c r="K109" s="7"/>
      <c r="Q109" s="7"/>
      <c r="Z109" s="7"/>
      <c r="AA109" s="7"/>
    </row>
    <row r="110" spans="3:27">
      <c r="C110" s="32"/>
      <c r="H110" s="7"/>
      <c r="K110" s="7"/>
      <c r="Q110" s="7"/>
      <c r="Z110" s="7"/>
      <c r="AA110" s="7"/>
    </row>
    <row r="111" spans="3:27">
      <c r="C111" s="32"/>
      <c r="H111" s="7"/>
      <c r="K111" s="7"/>
      <c r="Q111" s="7"/>
      <c r="Z111" s="7"/>
      <c r="AA111" s="7"/>
    </row>
    <row r="112" spans="3:27">
      <c r="C112" s="32"/>
      <c r="H112" s="7"/>
      <c r="K112" s="7"/>
      <c r="Q112" s="7"/>
      <c r="Z112" s="7"/>
      <c r="AA112" s="7"/>
    </row>
    <row r="113" spans="3:27">
      <c r="C113" s="32"/>
      <c r="H113" s="7"/>
      <c r="K113" s="7"/>
      <c r="Q113" s="7"/>
      <c r="Z113" s="7"/>
      <c r="AA113" s="7"/>
    </row>
    <row r="114" spans="3:27">
      <c r="C114" s="32"/>
      <c r="H114" s="7"/>
      <c r="K114" s="7"/>
      <c r="Q114" s="7"/>
      <c r="Z114" s="7"/>
      <c r="AA114" s="7"/>
    </row>
    <row r="115" spans="3:27">
      <c r="C115" s="32"/>
      <c r="H115" s="7"/>
      <c r="K115" s="7"/>
      <c r="Q115" s="7"/>
      <c r="Z115" s="7"/>
      <c r="AA115" s="7"/>
    </row>
    <row r="116" spans="3:27">
      <c r="C116" s="32"/>
      <c r="H116" s="7"/>
      <c r="K116" s="7"/>
      <c r="Q116" s="7"/>
      <c r="Z116" s="7"/>
      <c r="AA116" s="7"/>
    </row>
    <row r="117" spans="3:27">
      <c r="C117" s="32"/>
      <c r="H117" s="7"/>
      <c r="K117" s="7"/>
      <c r="Q117" s="7"/>
      <c r="Z117" s="7"/>
      <c r="AA117" s="7"/>
    </row>
    <row r="118" spans="3:27">
      <c r="C118" s="32"/>
      <c r="H118" s="7"/>
      <c r="K118" s="7"/>
      <c r="Q118" s="7"/>
      <c r="Z118" s="7"/>
      <c r="AA118" s="7"/>
    </row>
    <row r="119" spans="3:27">
      <c r="C119" s="32"/>
      <c r="H119" s="7"/>
      <c r="K119" s="7"/>
      <c r="Q119" s="7"/>
      <c r="Z119" s="7"/>
      <c r="AA119" s="7"/>
    </row>
    <row r="120" spans="3:27">
      <c r="C120" s="32"/>
      <c r="H120" s="7"/>
      <c r="K120" s="7"/>
      <c r="Q120" s="7"/>
      <c r="Z120" s="7"/>
      <c r="AA120" s="7"/>
    </row>
    <row r="121" spans="3:27">
      <c r="C121" s="32"/>
      <c r="H121" s="7"/>
      <c r="K121" s="7"/>
      <c r="Q121" s="7"/>
      <c r="Z121" s="7"/>
      <c r="AA121" s="7"/>
    </row>
    <row r="122" spans="3:27">
      <c r="C122" s="32"/>
      <c r="H122" s="7"/>
      <c r="K122" s="7"/>
      <c r="Q122" s="7"/>
      <c r="Z122" s="7"/>
      <c r="AA122" s="7"/>
    </row>
    <row r="123" spans="3:27">
      <c r="C123" s="32"/>
      <c r="H123" s="7"/>
      <c r="K123" s="7"/>
      <c r="Q123" s="7"/>
      <c r="Z123" s="7"/>
      <c r="AA123" s="7"/>
    </row>
    <row r="124" spans="3:27">
      <c r="C124" s="32"/>
      <c r="H124" s="7"/>
      <c r="K124" s="7"/>
      <c r="Q124" s="7"/>
      <c r="Z124" s="7"/>
      <c r="AA124" s="7"/>
    </row>
    <row r="125" spans="3:27">
      <c r="C125" s="32"/>
      <c r="H125" s="7"/>
      <c r="K125" s="7"/>
      <c r="Q125" s="7"/>
      <c r="Z125" s="7"/>
      <c r="AA125" s="7"/>
    </row>
    <row r="126" spans="3:27">
      <c r="C126" s="32"/>
      <c r="H126" s="7"/>
      <c r="K126" s="7"/>
      <c r="Q126" s="7"/>
      <c r="Z126" s="7"/>
      <c r="AA126" s="7"/>
    </row>
    <row r="127" spans="3:27">
      <c r="C127" s="32"/>
      <c r="H127" s="7"/>
      <c r="K127" s="7"/>
      <c r="Q127" s="7"/>
      <c r="Z127" s="7"/>
      <c r="AA127" s="7"/>
    </row>
    <row r="128" spans="3:27">
      <c r="C128" s="32"/>
      <c r="H128" s="7"/>
      <c r="K128" s="7"/>
      <c r="Q128" s="7"/>
      <c r="Z128" s="7"/>
      <c r="AA128" s="7"/>
    </row>
    <row r="129" spans="3:27">
      <c r="C129" s="32"/>
      <c r="H129" s="7"/>
      <c r="K129" s="7"/>
      <c r="Q129" s="7"/>
      <c r="Z129" s="7"/>
      <c r="AA129" s="7"/>
    </row>
    <row r="130" spans="3:27">
      <c r="C130" s="32"/>
      <c r="H130" s="7"/>
      <c r="K130" s="7"/>
      <c r="Q130" s="7"/>
      <c r="Z130" s="7"/>
      <c r="AA130" s="7"/>
    </row>
    <row r="131" spans="3:27">
      <c r="C131" s="32"/>
      <c r="H131" s="7"/>
      <c r="K131" s="7"/>
      <c r="Q131" s="7"/>
      <c r="Z131" s="7"/>
      <c r="AA131" s="7"/>
    </row>
    <row r="132" spans="3:27">
      <c r="C132" s="32"/>
      <c r="H132" s="7"/>
      <c r="K132" s="7"/>
      <c r="Q132" s="7"/>
      <c r="Z132" s="7"/>
      <c r="AA132" s="7"/>
    </row>
    <row r="133" spans="3:27">
      <c r="C133" s="32"/>
      <c r="H133" s="7"/>
      <c r="K133" s="7"/>
      <c r="Q133" s="7"/>
      <c r="Z133" s="7"/>
      <c r="AA133" s="7"/>
    </row>
    <row r="134" spans="3:27">
      <c r="C134" s="32"/>
      <c r="H134" s="7"/>
      <c r="K134" s="7"/>
      <c r="Q134" s="7"/>
      <c r="Z134" s="7"/>
      <c r="AA134" s="7"/>
    </row>
    <row r="135" spans="3:27">
      <c r="C135" s="32"/>
      <c r="H135" s="7"/>
      <c r="K135" s="7"/>
      <c r="Q135" s="7"/>
      <c r="Z135" s="7"/>
      <c r="AA135" s="7"/>
    </row>
    <row r="136" spans="3:27">
      <c r="C136" s="32"/>
      <c r="H136" s="7"/>
      <c r="K136" s="7"/>
      <c r="Q136" s="7"/>
      <c r="Z136" s="7"/>
      <c r="AA136" s="7"/>
    </row>
    <row r="137" spans="3:27">
      <c r="C137" s="32"/>
      <c r="H137" s="7"/>
      <c r="K137" s="7"/>
      <c r="Q137" s="7"/>
      <c r="Z137" s="7"/>
      <c r="AA137" s="7"/>
    </row>
    <row r="138" spans="3:27">
      <c r="C138" s="32"/>
      <c r="H138" s="7"/>
      <c r="K138" s="7"/>
      <c r="Q138" s="7"/>
      <c r="Z138" s="7"/>
      <c r="AA138" s="7"/>
    </row>
    <row r="139" spans="3:27">
      <c r="C139" s="32"/>
      <c r="H139" s="7"/>
      <c r="K139" s="7"/>
      <c r="Q139" s="7"/>
      <c r="Z139" s="7"/>
      <c r="AA139" s="7"/>
    </row>
    <row r="140" spans="3:27">
      <c r="C140" s="32"/>
      <c r="H140" s="7"/>
      <c r="K140" s="7"/>
      <c r="Q140" s="7"/>
      <c r="Z140" s="7"/>
      <c r="AA140" s="7"/>
    </row>
    <row r="141" spans="3:27">
      <c r="C141" s="32"/>
      <c r="H141" s="7"/>
      <c r="K141" s="7"/>
      <c r="Q141" s="7"/>
      <c r="Z141" s="7"/>
      <c r="AA141" s="7"/>
    </row>
    <row r="142" spans="3:27">
      <c r="C142" s="32"/>
      <c r="H142" s="7"/>
      <c r="K142" s="7"/>
      <c r="Q142" s="7"/>
      <c r="Z142" s="7"/>
      <c r="AA142" s="7"/>
    </row>
    <row r="143" spans="3:27">
      <c r="C143" s="32"/>
      <c r="H143" s="7"/>
      <c r="K143" s="7"/>
      <c r="Q143" s="7"/>
      <c r="Z143" s="7"/>
      <c r="AA143" s="7"/>
    </row>
    <row r="144" spans="3:27">
      <c r="C144" s="32"/>
      <c r="H144" s="7"/>
      <c r="K144" s="7"/>
      <c r="Q144" s="7"/>
      <c r="Z144" s="7"/>
      <c r="AA144" s="7"/>
    </row>
    <row r="145" spans="3:27">
      <c r="C145" s="32"/>
      <c r="H145" s="7"/>
      <c r="K145" s="7"/>
      <c r="Q145" s="7"/>
      <c r="Z145" s="7"/>
      <c r="AA145" s="7"/>
    </row>
    <row r="146" spans="3:27">
      <c r="C146" s="32"/>
      <c r="H146" s="7"/>
      <c r="K146" s="7"/>
      <c r="Q146" s="7"/>
      <c r="Z146" s="7"/>
      <c r="AA146" s="7"/>
    </row>
    <row r="147" spans="3:27">
      <c r="C147" s="32"/>
      <c r="H147" s="7"/>
      <c r="K147" s="7"/>
      <c r="Q147" s="7"/>
      <c r="Z147" s="7"/>
      <c r="AA147" s="7"/>
    </row>
    <row r="148" spans="3:27">
      <c r="C148" s="32"/>
      <c r="H148" s="7"/>
      <c r="K148" s="7"/>
      <c r="Q148" s="7"/>
      <c r="Z148" s="7"/>
      <c r="AA148" s="7"/>
    </row>
    <row r="149" spans="3:27">
      <c r="C149" s="32"/>
      <c r="H149" s="7"/>
      <c r="K149" s="7"/>
      <c r="Q149" s="7"/>
      <c r="Z149" s="7"/>
      <c r="AA149" s="7"/>
    </row>
    <row r="150" spans="3:27">
      <c r="C150" s="32"/>
      <c r="H150" s="7"/>
      <c r="K150" s="7"/>
      <c r="Q150" s="7"/>
      <c r="Z150" s="7"/>
      <c r="AA150" s="7"/>
    </row>
    <row r="151" spans="3:27">
      <c r="C151" s="32"/>
      <c r="H151" s="7"/>
      <c r="K151" s="7"/>
      <c r="Q151" s="7"/>
      <c r="Z151" s="7"/>
      <c r="AA151" s="7"/>
    </row>
    <row r="152" spans="3:27">
      <c r="C152" s="32"/>
      <c r="H152" s="7"/>
      <c r="K152" s="7"/>
      <c r="Q152" s="7"/>
      <c r="Z152" s="7"/>
      <c r="AA152" s="7"/>
    </row>
    <row r="153" spans="3:27">
      <c r="C153" s="32"/>
      <c r="H153" s="7"/>
      <c r="K153" s="7"/>
      <c r="Q153" s="7"/>
      <c r="Z153" s="7"/>
      <c r="AA153" s="7"/>
    </row>
    <row r="154" spans="3:27">
      <c r="C154" s="32"/>
      <c r="H154" s="7"/>
      <c r="K154" s="7"/>
      <c r="Q154" s="7"/>
      <c r="Z154" s="7"/>
      <c r="AA154" s="7"/>
    </row>
    <row r="155" spans="3:27">
      <c r="C155" s="32"/>
      <c r="H155" s="7"/>
      <c r="K155" s="7"/>
      <c r="Q155" s="7"/>
      <c r="Z155" s="7"/>
      <c r="AA155" s="7"/>
    </row>
    <row r="156" spans="3:27">
      <c r="C156" s="32"/>
      <c r="H156" s="7"/>
      <c r="K156" s="7"/>
      <c r="Q156" s="7"/>
      <c r="Z156" s="7"/>
      <c r="AA156" s="7"/>
    </row>
    <row r="157" spans="3:27">
      <c r="C157" s="32"/>
      <c r="H157" s="7"/>
      <c r="K157" s="7"/>
      <c r="Q157" s="7"/>
      <c r="Z157" s="7"/>
      <c r="AA157" s="7"/>
    </row>
    <row r="158" spans="3:27">
      <c r="C158" s="32"/>
      <c r="H158" s="7"/>
      <c r="K158" s="7"/>
      <c r="Q158" s="7"/>
      <c r="Z158" s="7"/>
      <c r="AA158" s="7"/>
    </row>
    <row r="159" spans="3:27">
      <c r="C159" s="32"/>
      <c r="H159" s="7"/>
      <c r="K159" s="7"/>
      <c r="Q159" s="7"/>
      <c r="Z159" s="7"/>
      <c r="AA159" s="7"/>
    </row>
    <row r="160" spans="3:27">
      <c r="C160" s="32"/>
      <c r="H160" s="7"/>
      <c r="K160" s="7"/>
      <c r="Q160" s="7"/>
      <c r="Z160" s="7"/>
      <c r="AA160" s="7"/>
    </row>
    <row r="161" spans="3:27">
      <c r="C161" s="32"/>
      <c r="H161" s="7"/>
      <c r="K161" s="7"/>
      <c r="Q161" s="7"/>
      <c r="Z161" s="7"/>
      <c r="AA161" s="7"/>
    </row>
    <row r="162" spans="3:27">
      <c r="C162" s="32"/>
      <c r="H162" s="7"/>
      <c r="K162" s="7"/>
      <c r="Q162" s="7"/>
      <c r="Z162" s="7"/>
      <c r="AA162" s="7"/>
    </row>
    <row r="163" spans="3:27">
      <c r="C163" s="32"/>
      <c r="H163" s="7"/>
      <c r="K163" s="7"/>
      <c r="Q163" s="7"/>
      <c r="Z163" s="7"/>
      <c r="AA163" s="7"/>
    </row>
    <row r="164" spans="3:27">
      <c r="C164" s="32"/>
      <c r="H164" s="7"/>
      <c r="K164" s="7"/>
      <c r="Q164" s="7"/>
      <c r="Z164" s="7"/>
      <c r="AA164" s="7"/>
    </row>
    <row r="165" spans="3:27">
      <c r="C165" s="32"/>
      <c r="H165" s="7"/>
      <c r="K165" s="7"/>
      <c r="Q165" s="7"/>
      <c r="Z165" s="7"/>
      <c r="AA165" s="7"/>
    </row>
    <row r="166" spans="3:27">
      <c r="C166" s="32"/>
      <c r="H166" s="7"/>
      <c r="K166" s="7"/>
      <c r="Q166" s="7"/>
      <c r="Z166" s="7"/>
      <c r="AA166" s="7"/>
    </row>
    <row r="167" spans="3:27">
      <c r="C167" s="32"/>
      <c r="H167" s="7"/>
      <c r="K167" s="7"/>
      <c r="Q167" s="7"/>
      <c r="Z167" s="7"/>
      <c r="AA167" s="7"/>
    </row>
    <row r="168" spans="3:27">
      <c r="C168" s="32"/>
      <c r="H168" s="7"/>
      <c r="K168" s="7"/>
      <c r="Q168" s="7"/>
      <c r="Z168" s="7"/>
      <c r="AA168" s="7"/>
    </row>
    <row r="169" spans="3:27">
      <c r="C169" s="32"/>
      <c r="H169" s="7"/>
      <c r="K169" s="7"/>
      <c r="Q169" s="7"/>
      <c r="Z169" s="7"/>
      <c r="AA169" s="7"/>
    </row>
    <row r="170" spans="3:27">
      <c r="C170" s="32"/>
      <c r="H170" s="7"/>
      <c r="K170" s="7"/>
      <c r="Q170" s="7"/>
      <c r="Z170" s="7"/>
      <c r="AA170" s="7"/>
    </row>
    <row r="171" spans="3:27">
      <c r="C171" s="32"/>
      <c r="H171" s="7"/>
      <c r="K171" s="7"/>
      <c r="Q171" s="7"/>
      <c r="Z171" s="7"/>
      <c r="AA171" s="7"/>
    </row>
    <row r="172" spans="3:27">
      <c r="C172" s="32"/>
      <c r="H172" s="7"/>
      <c r="K172" s="7"/>
      <c r="Q172" s="7"/>
      <c r="Z172" s="7"/>
      <c r="AA172" s="7"/>
    </row>
    <row r="173" spans="3:27">
      <c r="C173" s="32"/>
      <c r="H173" s="7"/>
      <c r="K173" s="7"/>
      <c r="Q173" s="7"/>
      <c r="Z173" s="7"/>
      <c r="AA173" s="7"/>
    </row>
    <row r="174" spans="3:27">
      <c r="C174" s="32"/>
      <c r="H174" s="7"/>
      <c r="K174" s="7"/>
      <c r="Q174" s="7"/>
      <c r="Z174" s="7"/>
      <c r="AA174" s="7"/>
    </row>
    <row r="175" spans="3:27">
      <c r="C175" s="32"/>
      <c r="H175" s="7"/>
      <c r="K175" s="7"/>
      <c r="Q175" s="7"/>
      <c r="Z175" s="7"/>
      <c r="AA175" s="7"/>
    </row>
    <row r="176" spans="3:27">
      <c r="C176" s="32"/>
      <c r="H176" s="7"/>
      <c r="K176" s="7"/>
      <c r="Q176" s="7"/>
      <c r="Z176" s="7"/>
      <c r="AA176" s="7"/>
    </row>
    <row r="177" spans="3:27">
      <c r="C177" s="32"/>
      <c r="H177" s="7"/>
      <c r="K177" s="7"/>
      <c r="Q177" s="7"/>
      <c r="Z177" s="7"/>
      <c r="AA177" s="7"/>
    </row>
    <row r="178" spans="3:27">
      <c r="C178" s="32"/>
      <c r="H178" s="7"/>
      <c r="K178" s="7"/>
      <c r="Q178" s="7"/>
      <c r="Z178" s="7"/>
      <c r="AA178" s="7"/>
    </row>
    <row r="179" spans="3:27">
      <c r="C179" s="32"/>
      <c r="H179" s="7"/>
      <c r="K179" s="7"/>
      <c r="Q179" s="7"/>
      <c r="Z179" s="7"/>
      <c r="AA179" s="7"/>
    </row>
    <row r="180" spans="3:27">
      <c r="C180" s="32"/>
      <c r="H180" s="7"/>
      <c r="K180" s="7"/>
      <c r="Q180" s="7"/>
      <c r="Z180" s="7"/>
      <c r="AA180" s="7"/>
    </row>
    <row r="181" spans="3:27">
      <c r="C181" s="32"/>
      <c r="H181" s="7"/>
      <c r="K181" s="7"/>
      <c r="Q181" s="7"/>
      <c r="Z181" s="7"/>
      <c r="AA181" s="7"/>
    </row>
    <row r="182" spans="3:27">
      <c r="C182" s="32"/>
      <c r="H182" s="7"/>
      <c r="K182" s="7"/>
      <c r="Q182" s="7"/>
      <c r="Z182" s="7"/>
      <c r="AA182" s="7"/>
    </row>
    <row r="183" spans="3:27">
      <c r="C183" s="32"/>
      <c r="H183" s="7"/>
      <c r="K183" s="7"/>
      <c r="Q183" s="7"/>
      <c r="Z183" s="7"/>
      <c r="AA183" s="7"/>
    </row>
    <row r="184" spans="3:27">
      <c r="C184" s="32"/>
      <c r="H184" s="7"/>
      <c r="K184" s="7"/>
      <c r="Q184" s="7"/>
      <c r="Z184" s="7"/>
      <c r="AA184" s="7"/>
    </row>
    <row r="185" spans="3:27">
      <c r="C185" s="32"/>
      <c r="H185" s="7"/>
      <c r="K185" s="7"/>
      <c r="Q185" s="7"/>
      <c r="Z185" s="7"/>
      <c r="AA185" s="7"/>
    </row>
    <row r="186" spans="3:27">
      <c r="C186" s="32"/>
      <c r="H186" s="7"/>
      <c r="K186" s="7"/>
      <c r="Q186" s="7"/>
      <c r="Z186" s="7"/>
      <c r="AA186" s="7"/>
    </row>
    <row r="187" spans="3:27">
      <c r="C187" s="32"/>
      <c r="H187" s="7"/>
      <c r="K187" s="7"/>
      <c r="Q187" s="7"/>
      <c r="Z187" s="7"/>
      <c r="AA187" s="7"/>
    </row>
    <row r="188" spans="3:27">
      <c r="C188" s="32"/>
      <c r="H188" s="7"/>
      <c r="K188" s="7"/>
      <c r="Q188" s="7"/>
      <c r="Z188" s="7"/>
      <c r="AA188" s="7"/>
    </row>
    <row r="189" spans="3:27">
      <c r="C189" s="32"/>
      <c r="H189" s="7"/>
      <c r="K189" s="7"/>
      <c r="Q189" s="7"/>
      <c r="Z189" s="7"/>
      <c r="AA189" s="7"/>
    </row>
    <row r="190" spans="3:27">
      <c r="C190" s="32"/>
      <c r="H190" s="7"/>
      <c r="K190" s="7"/>
      <c r="Q190" s="7"/>
      <c r="Z190" s="7"/>
      <c r="AA190" s="7"/>
    </row>
    <row r="191" spans="3:27">
      <c r="C191" s="32"/>
      <c r="H191" s="7"/>
      <c r="K191" s="7"/>
      <c r="Q191" s="7"/>
      <c r="Z191" s="7"/>
      <c r="AA191" s="7"/>
    </row>
    <row r="192" spans="3:27">
      <c r="C192" s="32"/>
      <c r="H192" s="7"/>
      <c r="K192" s="7"/>
      <c r="Q192" s="7"/>
      <c r="Z192" s="7"/>
      <c r="AA192" s="7"/>
    </row>
    <row r="193" spans="3:27">
      <c r="C193" s="32"/>
      <c r="H193" s="7"/>
      <c r="K193" s="7"/>
      <c r="Q193" s="7"/>
      <c r="Z193" s="7"/>
      <c r="AA193" s="7"/>
    </row>
    <row r="194" spans="3:27">
      <c r="C194" s="32"/>
      <c r="H194" s="7"/>
      <c r="K194" s="7"/>
      <c r="Q194" s="7"/>
      <c r="Z194" s="7"/>
      <c r="AA194" s="7"/>
    </row>
    <row r="195" spans="3:27">
      <c r="C195" s="32"/>
      <c r="H195" s="7"/>
      <c r="K195" s="7"/>
      <c r="Q195" s="7"/>
      <c r="Z195" s="7"/>
      <c r="AA195" s="7"/>
    </row>
    <row r="196" spans="3:27">
      <c r="C196" s="32"/>
      <c r="H196" s="7"/>
      <c r="K196" s="7"/>
      <c r="Q196" s="7"/>
      <c r="Z196" s="31"/>
    </row>
    <row r="197" spans="3:27">
      <c r="C197" s="32"/>
      <c r="H197" s="7"/>
      <c r="K197" s="7"/>
      <c r="Q197" s="7"/>
      <c r="Z197" s="31"/>
    </row>
    <row r="198" spans="3:27">
      <c r="C198" s="32"/>
      <c r="H198" s="7"/>
      <c r="K198" s="7"/>
      <c r="Q198" s="7"/>
      <c r="Z198" s="31"/>
    </row>
    <row r="199" spans="3:27">
      <c r="C199" s="32"/>
      <c r="H199" s="7"/>
      <c r="K199" s="7"/>
      <c r="Q199" s="7"/>
      <c r="Z199" s="31"/>
    </row>
    <row r="200" spans="3:27">
      <c r="C200" s="32"/>
      <c r="H200" s="7"/>
      <c r="K200" s="7"/>
      <c r="Q200" s="7"/>
      <c r="Z200" s="31"/>
    </row>
    <row r="201" spans="3:27">
      <c r="C201" s="32"/>
      <c r="H201" s="7"/>
      <c r="K201" s="7"/>
      <c r="Q201" s="7"/>
      <c r="Z201" s="31"/>
    </row>
    <row r="202" spans="3:27">
      <c r="C202" s="32"/>
      <c r="H202" s="7"/>
      <c r="K202" s="7"/>
      <c r="Q202" s="7"/>
      <c r="Z202" s="31"/>
    </row>
    <row r="203" spans="3:27">
      <c r="C203" s="32"/>
      <c r="H203" s="7"/>
      <c r="K203" s="7"/>
      <c r="Q203" s="7"/>
      <c r="Z203" s="31"/>
    </row>
    <row r="204" spans="3:27">
      <c r="C204" s="32"/>
      <c r="H204" s="7"/>
      <c r="K204" s="7"/>
      <c r="Q204" s="7"/>
      <c r="Z204" s="31"/>
    </row>
    <row r="205" spans="3:27">
      <c r="C205" s="32"/>
      <c r="H205" s="7"/>
      <c r="K205" s="7"/>
      <c r="Q205" s="7"/>
      <c r="Z205" s="31"/>
    </row>
    <row r="206" spans="3:27">
      <c r="C206" s="32"/>
      <c r="H206" s="7"/>
      <c r="K206" s="7"/>
      <c r="Q206" s="7"/>
      <c r="Z206" s="31"/>
    </row>
    <row r="207" spans="3:27">
      <c r="C207" s="32"/>
      <c r="H207" s="7"/>
      <c r="K207" s="7"/>
      <c r="Q207" s="7"/>
      <c r="Z207" s="31"/>
    </row>
    <row r="208" spans="3:27">
      <c r="C208" s="32"/>
      <c r="H208" s="7"/>
      <c r="K208" s="7"/>
      <c r="Q208" s="7"/>
      <c r="Z208" s="31"/>
    </row>
    <row r="209" spans="3:26">
      <c r="C209" s="32"/>
      <c r="H209" s="7"/>
      <c r="K209" s="7"/>
      <c r="Q209" s="7"/>
      <c r="Z209" s="31"/>
    </row>
    <row r="210" spans="3:26">
      <c r="C210" s="32"/>
      <c r="H210" s="7"/>
      <c r="K210" s="7"/>
      <c r="Q210" s="7"/>
      <c r="Z210" s="31"/>
    </row>
    <row r="211" spans="3:26">
      <c r="C211" s="32"/>
      <c r="H211" s="7"/>
      <c r="K211" s="7"/>
      <c r="Q211" s="7"/>
      <c r="Z211" s="31"/>
    </row>
    <row r="212" spans="3:26">
      <c r="C212" s="32"/>
      <c r="H212" s="7"/>
      <c r="K212" s="7"/>
      <c r="Q212" s="7"/>
      <c r="Z212" s="31"/>
    </row>
    <row r="213" spans="3:26">
      <c r="C213" s="32"/>
      <c r="H213" s="7"/>
      <c r="K213" s="7"/>
      <c r="Q213" s="7"/>
      <c r="Z213" s="31"/>
    </row>
    <row r="214" spans="3:26">
      <c r="C214" s="32"/>
      <c r="H214" s="7"/>
      <c r="K214" s="7"/>
      <c r="Q214" s="7"/>
      <c r="Z214" s="31"/>
    </row>
    <row r="215" spans="3:26">
      <c r="C215" s="32"/>
      <c r="H215" s="7"/>
      <c r="K215" s="7"/>
      <c r="Q215" s="7"/>
      <c r="Z215" s="31"/>
    </row>
    <row r="216" spans="3:26">
      <c r="C216" s="32"/>
      <c r="H216" s="7"/>
      <c r="K216" s="7"/>
      <c r="Q216" s="7"/>
      <c r="Z216" s="31"/>
    </row>
    <row r="217" spans="3:26">
      <c r="C217" s="32"/>
      <c r="H217" s="7"/>
      <c r="K217" s="7"/>
      <c r="Q217" s="7"/>
      <c r="Z217" s="31"/>
    </row>
    <row r="218" spans="3:26">
      <c r="C218" s="32"/>
      <c r="H218" s="7"/>
      <c r="K218" s="7"/>
      <c r="Q218" s="7"/>
      <c r="Z218" s="31"/>
    </row>
    <row r="219" spans="3:26">
      <c r="C219" s="32"/>
      <c r="H219" s="7"/>
      <c r="K219" s="7"/>
      <c r="Q219" s="7"/>
      <c r="Z219" s="31"/>
    </row>
    <row r="220" spans="3:26">
      <c r="C220" s="32"/>
      <c r="H220" s="7"/>
      <c r="K220" s="7"/>
      <c r="Q220" s="7"/>
      <c r="Z220" s="31"/>
    </row>
    <row r="221" spans="3:26">
      <c r="C221" s="32"/>
      <c r="H221" s="7"/>
      <c r="K221" s="7"/>
      <c r="Q221" s="7"/>
      <c r="Z221" s="31"/>
    </row>
    <row r="222" spans="3:26">
      <c r="C222" s="32"/>
      <c r="H222" s="7"/>
      <c r="K222" s="7"/>
      <c r="Q222" s="7"/>
      <c r="Z222" s="31"/>
    </row>
    <row r="223" spans="3:26">
      <c r="C223" s="32"/>
      <c r="H223" s="7"/>
      <c r="K223" s="7"/>
      <c r="Q223" s="7"/>
      <c r="Z223" s="31"/>
    </row>
    <row r="224" spans="3:26">
      <c r="C224" s="32"/>
      <c r="H224" s="7"/>
      <c r="K224" s="7"/>
      <c r="Q224" s="7"/>
      <c r="Z224" s="31"/>
    </row>
    <row r="225" spans="3:26">
      <c r="C225" s="32"/>
      <c r="H225" s="7"/>
      <c r="K225" s="7"/>
      <c r="Q225" s="7"/>
      <c r="Z225" s="31"/>
    </row>
    <row r="226" spans="3:26">
      <c r="C226" s="32"/>
      <c r="H226" s="7"/>
      <c r="K226" s="7"/>
      <c r="Q226" s="7"/>
      <c r="Z226" s="31"/>
    </row>
    <row r="227" spans="3:26">
      <c r="C227" s="32"/>
      <c r="H227" s="7"/>
      <c r="K227" s="7"/>
      <c r="Q227" s="7"/>
      <c r="Z227" s="31"/>
    </row>
    <row r="228" spans="3:26">
      <c r="C228" s="32"/>
      <c r="H228" s="7"/>
      <c r="K228" s="7"/>
      <c r="Q228" s="7"/>
      <c r="Z228" s="31"/>
    </row>
    <row r="229" spans="3:26">
      <c r="C229" s="32"/>
      <c r="H229" s="7"/>
      <c r="K229" s="7"/>
      <c r="Q229" s="7"/>
      <c r="Z229" s="31"/>
    </row>
    <row r="230" spans="3:26">
      <c r="C230" s="32"/>
      <c r="H230" s="7"/>
      <c r="K230" s="7"/>
      <c r="Q230" s="7"/>
      <c r="Z230" s="31"/>
    </row>
    <row r="231" spans="3:26">
      <c r="C231" s="32"/>
      <c r="H231" s="7"/>
      <c r="K231" s="7"/>
      <c r="Q231" s="7"/>
      <c r="Z231" s="31"/>
    </row>
    <row r="232" spans="3:26">
      <c r="C232" s="32"/>
      <c r="H232" s="7"/>
      <c r="K232" s="7"/>
      <c r="Q232" s="7"/>
      <c r="Z232" s="31"/>
    </row>
    <row r="233" spans="3:26">
      <c r="C233" s="32"/>
      <c r="H233" s="7"/>
      <c r="K233" s="7"/>
      <c r="Q233" s="7"/>
      <c r="Z233" s="31"/>
    </row>
    <row r="234" spans="3:26">
      <c r="C234" s="32"/>
      <c r="H234" s="7"/>
      <c r="K234" s="7"/>
      <c r="Q234" s="7"/>
      <c r="Z234" s="31"/>
    </row>
    <row r="235" spans="3:26">
      <c r="C235" s="32"/>
      <c r="H235" s="7"/>
      <c r="K235" s="7"/>
      <c r="Q235" s="7"/>
      <c r="Z235" s="31"/>
    </row>
    <row r="236" spans="3:26">
      <c r="C236" s="32"/>
      <c r="H236" s="7"/>
      <c r="K236" s="7"/>
      <c r="Q236" s="7"/>
      <c r="Z236" s="31"/>
    </row>
    <row r="237" spans="3:26">
      <c r="C237" s="32"/>
      <c r="H237" s="7"/>
      <c r="K237" s="7"/>
      <c r="Q237" s="7"/>
      <c r="Z237" s="31"/>
    </row>
    <row r="238" spans="3:26">
      <c r="C238" s="32"/>
      <c r="H238" s="7"/>
      <c r="K238" s="7"/>
      <c r="Q238" s="7"/>
      <c r="Z238" s="31"/>
    </row>
    <row r="239" spans="3:26">
      <c r="C239" s="32"/>
      <c r="H239" s="7"/>
      <c r="K239" s="7"/>
      <c r="Q239" s="7"/>
      <c r="Z239" s="31"/>
    </row>
    <row r="240" spans="3:26">
      <c r="C240" s="32"/>
      <c r="H240" s="7"/>
      <c r="K240" s="7"/>
      <c r="Q240" s="7"/>
      <c r="Z240" s="31"/>
    </row>
    <row r="241" spans="3:26">
      <c r="C241" s="32"/>
      <c r="H241" s="7"/>
      <c r="K241" s="7"/>
      <c r="Q241" s="7"/>
      <c r="Z241" s="31"/>
    </row>
    <row r="242" spans="3:26">
      <c r="C242" s="32"/>
      <c r="H242" s="7"/>
      <c r="K242" s="7"/>
      <c r="Q242" s="7"/>
      <c r="Z242" s="31"/>
    </row>
    <row r="243" spans="3:26">
      <c r="C243" s="32"/>
      <c r="H243" s="7"/>
      <c r="K243" s="7"/>
      <c r="Q243" s="7"/>
      <c r="Z243" s="31"/>
    </row>
    <row r="244" spans="3:26">
      <c r="C244" s="32"/>
      <c r="H244" s="7"/>
      <c r="K244" s="7"/>
      <c r="Q244" s="7"/>
      <c r="Z244" s="31"/>
    </row>
    <row r="245" spans="3:26">
      <c r="C245" s="32"/>
      <c r="H245" s="7"/>
      <c r="K245" s="7"/>
      <c r="Q245" s="7"/>
      <c r="Z245" s="31"/>
    </row>
    <row r="246" spans="3:26">
      <c r="C246" s="32"/>
      <c r="H246" s="7"/>
      <c r="K246" s="7"/>
      <c r="Q246" s="7"/>
      <c r="Z246" s="31"/>
    </row>
    <row r="247" spans="3:26">
      <c r="C247" s="32"/>
      <c r="H247" s="7"/>
      <c r="K247" s="7"/>
      <c r="Q247" s="7"/>
      <c r="Z247" s="31"/>
    </row>
    <row r="248" spans="3:26">
      <c r="C248" s="32"/>
      <c r="H248" s="7"/>
      <c r="K248" s="7"/>
      <c r="Q248" s="7"/>
      <c r="Z248" s="31"/>
    </row>
    <row r="249" spans="3:26">
      <c r="C249" s="32"/>
      <c r="H249" s="7"/>
      <c r="K249" s="7"/>
      <c r="Q249" s="7"/>
      <c r="Z249" s="31"/>
    </row>
    <row r="250" spans="3:26">
      <c r="C250" s="32"/>
      <c r="H250" s="7"/>
      <c r="K250" s="7"/>
      <c r="Q250" s="7"/>
      <c r="Z250" s="31"/>
    </row>
    <row r="251" spans="3:26">
      <c r="C251" s="32"/>
      <c r="H251" s="7"/>
      <c r="K251" s="7"/>
      <c r="Q251" s="7"/>
      <c r="Z251" s="31"/>
    </row>
    <row r="252" spans="3:26">
      <c r="C252" s="32"/>
      <c r="H252" s="7"/>
      <c r="K252" s="7"/>
      <c r="Q252" s="7"/>
      <c r="Z252" s="31"/>
    </row>
    <row r="253" spans="3:26">
      <c r="C253" s="32"/>
      <c r="H253" s="7"/>
      <c r="K253" s="7"/>
      <c r="Q253" s="7"/>
      <c r="Z253" s="31"/>
    </row>
    <row r="254" spans="3:26">
      <c r="C254" s="32"/>
      <c r="H254" s="7"/>
      <c r="K254" s="7"/>
      <c r="Q254" s="7"/>
      <c r="Z254" s="31"/>
    </row>
    <row r="255" spans="3:26">
      <c r="C255" s="32"/>
      <c r="H255" s="7"/>
      <c r="K255" s="7"/>
      <c r="Q255" s="7"/>
      <c r="Z255" s="31"/>
    </row>
    <row r="256" spans="3:26">
      <c r="C256" s="32"/>
      <c r="H256" s="7"/>
      <c r="K256" s="7"/>
      <c r="Q256" s="7"/>
      <c r="Z256" s="31"/>
    </row>
    <row r="257" spans="3:26">
      <c r="C257" s="32"/>
      <c r="H257" s="7"/>
      <c r="K257" s="7"/>
      <c r="Q257" s="7"/>
      <c r="Z257" s="31"/>
    </row>
    <row r="258" spans="3:26">
      <c r="C258" s="32"/>
      <c r="H258" s="7"/>
      <c r="K258" s="7"/>
      <c r="Q258" s="7"/>
      <c r="Z258" s="31"/>
    </row>
    <row r="259" spans="3:26">
      <c r="C259" s="32"/>
      <c r="H259" s="7"/>
      <c r="K259" s="7"/>
      <c r="Q259" s="7"/>
      <c r="Z259" s="31"/>
    </row>
    <row r="260" spans="3:26">
      <c r="C260" s="32"/>
      <c r="H260" s="7"/>
      <c r="K260" s="7"/>
      <c r="Q260" s="7"/>
      <c r="Z260" s="31"/>
    </row>
    <row r="261" spans="3:26">
      <c r="C261" s="32"/>
      <c r="H261" s="7"/>
      <c r="K261" s="7"/>
      <c r="Q261" s="7"/>
      <c r="Z261" s="31"/>
    </row>
    <row r="262" spans="3:26">
      <c r="C262" s="32"/>
      <c r="H262" s="7"/>
      <c r="K262" s="7"/>
      <c r="Q262" s="7"/>
      <c r="Z262" s="31"/>
    </row>
    <row r="263" spans="3:26">
      <c r="C263" s="32"/>
      <c r="H263" s="7"/>
      <c r="K263" s="7"/>
      <c r="Q263" s="7"/>
      <c r="Z263" s="31"/>
    </row>
    <row r="264" spans="3:26">
      <c r="C264" s="32"/>
      <c r="H264" s="7"/>
      <c r="K264" s="7"/>
      <c r="Q264" s="7"/>
      <c r="Z264" s="31"/>
    </row>
    <row r="265" spans="3:26">
      <c r="C265" s="32"/>
      <c r="H265" s="7"/>
      <c r="K265" s="7"/>
      <c r="Q265" s="7"/>
      <c r="Z265" s="31"/>
    </row>
    <row r="266" spans="3:26">
      <c r="C266" s="32"/>
      <c r="H266" s="7"/>
      <c r="K266" s="7"/>
      <c r="Q266" s="7"/>
      <c r="Z266" s="31"/>
    </row>
    <row r="267" spans="3:26">
      <c r="C267" s="32"/>
      <c r="H267" s="7"/>
      <c r="K267" s="7"/>
      <c r="Q267" s="7"/>
      <c r="Z267" s="31"/>
    </row>
    <row r="268" spans="3:26">
      <c r="C268" s="32"/>
      <c r="H268" s="7"/>
      <c r="K268" s="7"/>
      <c r="Q268" s="7"/>
      <c r="Z268" s="31"/>
    </row>
    <row r="269" spans="3:26">
      <c r="C269" s="32"/>
      <c r="H269" s="7"/>
      <c r="K269" s="7"/>
      <c r="Q269" s="7"/>
      <c r="Z269" s="31"/>
    </row>
    <row r="270" spans="3:26">
      <c r="C270" s="32"/>
      <c r="H270" s="7"/>
      <c r="K270" s="7"/>
      <c r="Q270" s="7"/>
      <c r="Z270" s="31"/>
    </row>
    <row r="271" spans="3:26">
      <c r="C271" s="32"/>
      <c r="H271" s="7"/>
      <c r="K271" s="7"/>
      <c r="Q271" s="7"/>
      <c r="Z271" s="31"/>
    </row>
    <row r="272" spans="3:26">
      <c r="C272" s="32"/>
      <c r="H272" s="7"/>
      <c r="K272" s="7"/>
      <c r="Q272" s="7"/>
      <c r="Z272" s="31"/>
    </row>
    <row r="273" spans="3:26">
      <c r="C273" s="32"/>
      <c r="H273" s="7"/>
      <c r="K273" s="7"/>
      <c r="Q273" s="7"/>
      <c r="Z273" s="31"/>
    </row>
    <row r="274" spans="3:26">
      <c r="C274" s="32"/>
      <c r="H274" s="7"/>
      <c r="K274" s="7"/>
      <c r="Q274" s="7"/>
      <c r="Z274" s="31"/>
    </row>
    <row r="275" spans="3:26">
      <c r="C275" s="32"/>
      <c r="H275" s="7"/>
      <c r="K275" s="7"/>
      <c r="Q275" s="7"/>
      <c r="Z275" s="31"/>
    </row>
    <row r="276" spans="3:26">
      <c r="C276" s="32"/>
      <c r="Z276" s="31"/>
    </row>
    <row r="277" spans="3:26">
      <c r="C277" s="32"/>
      <c r="Z277" s="31"/>
    </row>
    <row r="278" spans="3:26">
      <c r="C278" s="32"/>
      <c r="Z278" s="31"/>
    </row>
    <row r="279" spans="3:26">
      <c r="C279" s="32"/>
      <c r="Z279" s="31"/>
    </row>
    <row r="280" spans="3:26">
      <c r="C280" s="32"/>
      <c r="Z280" s="31"/>
    </row>
  </sheetData>
  <sheetProtection selectLockedCells="1" selectUnlockedCells="1"/>
  <pageMargins left="0.78740157499999996" right="0.78740157499999996" top="0.984251969" bottom="0.984251969" header="0.4921259845" footer="0.4921259845"/>
  <pageSetup paperSize="8" scale="26"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76CB-0FB9-4921-9FFF-4BE423AABEF8}">
  <sheetPr codeName="Tabelle7">
    <pageSetUpPr fitToPage="1"/>
  </sheetPr>
  <dimension ref="A1:AX281"/>
  <sheetViews>
    <sheetView zoomScale="85" zoomScaleNormal="85" workbookViewId="0">
      <selection activeCell="Q2" sqref="Q2"/>
    </sheetView>
  </sheetViews>
  <sheetFormatPr baseColWidth="10" defaultColWidth="11.42578125" defaultRowHeight="12.75"/>
  <cols>
    <col min="1" max="1" width="48.140625" style="31" customWidth="1"/>
    <col min="2" max="2" width="11.42578125" style="31"/>
    <col min="3" max="3" width="9.140625" style="31" customWidth="1"/>
    <col min="4" max="7" width="11.42578125" style="31"/>
    <col min="8" max="8" width="25.140625" style="31" customWidth="1"/>
    <col min="9" max="10" width="19" style="31" customWidth="1"/>
    <col min="11" max="11" width="11.42578125" style="31"/>
    <col min="12" max="12" width="18.28515625" style="31" customWidth="1"/>
    <col min="13" max="13" width="11.42578125" style="31"/>
    <col min="14" max="14" width="8.140625" style="31" customWidth="1"/>
    <col min="15" max="15" width="7.5703125" style="31" customWidth="1"/>
    <col min="16" max="16" width="14.28515625" style="31" bestFit="1" customWidth="1"/>
    <col min="17" max="17" width="11.42578125" style="31"/>
    <col min="18" max="18" width="7" style="31" customWidth="1"/>
    <col min="19" max="19" width="13.42578125" style="31" customWidth="1"/>
    <col min="20" max="20" width="11.42578125" style="31"/>
    <col min="21" max="21" width="8.140625" style="31" customWidth="1"/>
    <col min="22" max="22" width="15.28515625" style="31" bestFit="1" customWidth="1"/>
    <col min="23" max="23" width="11.42578125" style="31"/>
    <col min="24" max="24" width="5.85546875" style="31" customWidth="1"/>
    <col min="25" max="25" width="11.42578125" style="31"/>
    <col min="26" max="26" width="11.42578125" style="32"/>
    <col min="27" max="27" width="2.5703125" style="31" customWidth="1"/>
    <col min="28" max="28" width="16.7109375" style="31" bestFit="1" customWidth="1"/>
    <col min="29" max="29" width="11.42578125" style="31"/>
    <col min="30" max="30" width="3.42578125" style="31" customWidth="1"/>
    <col min="31" max="31" width="13.42578125" style="31" bestFit="1" customWidth="1"/>
    <col min="32" max="32" width="11.42578125" style="31"/>
    <col min="33" max="33" width="3.42578125" style="31" customWidth="1"/>
    <col min="34" max="34" width="13.42578125" style="31" bestFit="1" customWidth="1"/>
    <col min="35" max="35" width="11.42578125" style="31"/>
    <col min="36" max="36" width="4" style="31" customWidth="1"/>
    <col min="37" max="37" width="20.85546875" style="31" customWidth="1"/>
    <col min="38" max="38" width="11.42578125" style="31"/>
    <col min="39" max="39" width="2.85546875" style="31" customWidth="1"/>
    <col min="40" max="40" width="22.7109375" style="31" bestFit="1" customWidth="1"/>
    <col min="41" max="41" width="11.42578125" style="31"/>
    <col min="42" max="42" width="3.7109375" style="31" customWidth="1"/>
    <col min="43" max="43" width="19.85546875" style="31" bestFit="1" customWidth="1"/>
    <col min="44" max="44" width="11.42578125" style="31"/>
    <col min="45" max="45" width="3.5703125" style="31" customWidth="1"/>
    <col min="46" max="46" width="29.7109375" style="31" bestFit="1" customWidth="1"/>
    <col min="47" max="47" width="11.42578125" style="31"/>
    <col min="48" max="48" width="3.5703125" style="31" customWidth="1"/>
    <col min="49" max="49" width="16.140625" style="31" customWidth="1"/>
    <col min="50" max="50" width="11.42578125" style="31"/>
    <col min="51" max="51" width="3.5703125" style="31" customWidth="1"/>
    <col min="52" max="52" width="13" style="31" customWidth="1"/>
    <col min="53" max="53" width="11.42578125" style="31"/>
    <col min="54" max="54" width="3.5703125" style="31" customWidth="1"/>
    <col min="55" max="55" width="13" style="31" customWidth="1"/>
    <col min="56" max="56" width="11.42578125" style="31"/>
    <col min="57" max="57" width="2.5703125" style="31" customWidth="1"/>
    <col min="58" max="58" width="14.42578125" style="31" bestFit="1" customWidth="1"/>
    <col min="59" max="59" width="11.42578125" style="31"/>
    <col min="60" max="60" width="2.5703125" style="31" customWidth="1"/>
    <col min="61" max="61" width="14.42578125" style="31" bestFit="1" customWidth="1"/>
    <col min="62" max="62" width="11.42578125" style="31"/>
    <col min="63" max="63" width="2.85546875" style="31" customWidth="1"/>
    <col min="64" max="64" width="19.85546875" style="31" bestFit="1" customWidth="1"/>
    <col min="65" max="16384" width="11.42578125" style="31"/>
  </cols>
  <sheetData>
    <row r="1" spans="1:26" ht="20.25">
      <c r="A1" s="67" t="s">
        <v>165</v>
      </c>
      <c r="Q1" s="31" t="str" cm="1">
        <f t="array" ref="Q1">_xlfn._xlws.FILTER(Abflussbeiwerte[Zone],(Abflussbeiwerte[Gemeindenr] = "Gemeinde"&amp;B8),"Nothing Found")</f>
        <v>Alle Zonen</v>
      </c>
    </row>
    <row r="2" spans="1:26" ht="15.75">
      <c r="A2" s="66"/>
    </row>
    <row r="4" spans="1:26">
      <c r="A4" s="34"/>
      <c r="Z4" s="31"/>
    </row>
    <row r="5" spans="1:26">
      <c r="Z5" s="31"/>
    </row>
    <row r="6" spans="1:26">
      <c r="A6" s="34" t="s">
        <v>164</v>
      </c>
      <c r="D6" s="64" t="s">
        <v>163</v>
      </c>
      <c r="Z6" s="31"/>
    </row>
    <row r="7" spans="1:26">
      <c r="A7" s="34"/>
      <c r="E7" s="65"/>
      <c r="Z7" s="31"/>
    </row>
    <row r="8" spans="1:26">
      <c r="A8" s="31" t="s">
        <v>162</v>
      </c>
      <c r="B8" s="57">
        <v>23</v>
      </c>
      <c r="D8" s="31" t="s">
        <v>155</v>
      </c>
      <c r="H8" s="31" t="s">
        <v>179</v>
      </c>
      <c r="J8" s="31" t="s">
        <v>181</v>
      </c>
      <c r="Z8" s="31"/>
    </row>
    <row r="9" spans="1:26">
      <c r="A9" s="31" t="s">
        <v>178</v>
      </c>
      <c r="B9" s="70" t="str">
        <f>VLOOKUP(B8,Auswahlliste!D2:F82,3,FALSE)</f>
        <v>Wartau</v>
      </c>
      <c r="H9" s="31">
        <f>MATCH(B9,Regen!A1:Z1,0)</f>
        <v>11</v>
      </c>
      <c r="I9" s="31" t="str">
        <f>SUBSTITUTE(ADDRESS(1,MATCH(B9,Regen!A1:Z1,0),4),"1","")</f>
        <v>K</v>
      </c>
      <c r="J9" s="31">
        <f>MATCH(B9,Regen!A1:Z1,0)-1+B10</f>
        <v>13</v>
      </c>
      <c r="Z9" s="31"/>
    </row>
    <row r="10" spans="1:26">
      <c r="A10" s="65" t="s">
        <v>121</v>
      </c>
      <c r="B10" s="142">
        <v>3</v>
      </c>
      <c r="D10" s="31" t="s">
        <v>155</v>
      </c>
      <c r="H10" s="31">
        <f>MATCH(B9,Regen!A1:Z1,0)+3</f>
        <v>14</v>
      </c>
      <c r="I10" s="31" t="str">
        <f>SUBSTITUTE(ADDRESS(1,MATCH(B9,Regen!A1:Z1,0)+3,4),"1","")</f>
        <v>N</v>
      </c>
      <c r="Z10" s="31"/>
    </row>
    <row r="11" spans="1:26">
      <c r="A11" s="31" t="s">
        <v>651</v>
      </c>
      <c r="B11" s="63">
        <f>Retentionsanlage!K49/10000</f>
        <v>0</v>
      </c>
      <c r="C11" s="31" t="s">
        <v>161</v>
      </c>
      <c r="D11" s="31" t="s">
        <v>158</v>
      </c>
      <c r="Z11" s="31"/>
    </row>
    <row r="12" spans="1:26" ht="15.75">
      <c r="A12" s="31" t="s">
        <v>160</v>
      </c>
      <c r="B12" s="63">
        <f>IF(Retentionsanlage!N49="",0,Retentionsanlage!N49/10000)</f>
        <v>0</v>
      </c>
      <c r="C12" s="31" t="s">
        <v>159</v>
      </c>
      <c r="D12" s="31" t="s">
        <v>158</v>
      </c>
      <c r="Z12" s="31"/>
    </row>
    <row r="13" spans="1:26" ht="15.75">
      <c r="A13" s="31" t="s">
        <v>657</v>
      </c>
      <c r="B13" s="62">
        <f>Retentionsanlage!E58</f>
        <v>0.1</v>
      </c>
      <c r="D13" s="31" t="s">
        <v>158</v>
      </c>
      <c r="H13" s="31" t="s">
        <v>180</v>
      </c>
      <c r="Z13" s="31"/>
    </row>
    <row r="14" spans="1:26" ht="15.75">
      <c r="A14" s="65" t="s">
        <v>658</v>
      </c>
      <c r="B14" s="61">
        <f>B11*B13*J18</f>
        <v>0</v>
      </c>
      <c r="C14" s="31" t="s">
        <v>117</v>
      </c>
      <c r="D14" s="65" t="s">
        <v>650</v>
      </c>
      <c r="H14" s="31">
        <f>MATCH(B35,Regen!A:A,0)</f>
        <v>4</v>
      </c>
      <c r="I14" s="31" cm="1">
        <f t="array" ref="I14">INDEX(Regen!A4:Z123,10,Berechnung_Retention!H9)</f>
        <v>117.94635700000001</v>
      </c>
      <c r="Z14" s="31"/>
    </row>
    <row r="15" spans="1:26" ht="15.75">
      <c r="A15" s="60" t="s">
        <v>653</v>
      </c>
      <c r="B15" s="59" t="str">
        <f>IF(B12=0,"---",B14/B12)</f>
        <v>---</v>
      </c>
      <c r="C15" s="31" t="s">
        <v>157</v>
      </c>
      <c r="D15" s="58" t="s">
        <v>156</v>
      </c>
      <c r="I15" s="34" cm="1">
        <f t="array" ref="I15">INDEX(Regen!A1:Z123,MATCH(B43,Regen!A:A,0),Berechnung_Retention!J9)</f>
        <v>432.39748450000002</v>
      </c>
      <c r="Z15" s="31"/>
    </row>
    <row r="16" spans="1:26">
      <c r="Z16" s="31"/>
    </row>
    <row r="17" spans="1:40">
      <c r="Z17" s="31"/>
    </row>
    <row r="18" spans="1:40">
      <c r="H18" s="31" t="s">
        <v>183</v>
      </c>
      <c r="J18" s="31" cm="1">
        <f t="array" ref="J18">INDEX(Regen!$A$1:$Z$123,MATCH(M18,Regen!$A:$A,0),Berechnung_Retention!$J$9)</f>
        <v>264.96316849999999</v>
      </c>
      <c r="K18" s="31" t="s">
        <v>185</v>
      </c>
      <c r="M18" s="31">
        <v>10</v>
      </c>
      <c r="N18" s="31" t="s">
        <v>184</v>
      </c>
      <c r="Z18" s="31"/>
    </row>
    <row r="19" spans="1:40">
      <c r="A19" s="34"/>
      <c r="K19" s="31" t="s">
        <v>186</v>
      </c>
      <c r="Z19" s="31"/>
    </row>
    <row r="20" spans="1:40">
      <c r="Z20" s="31"/>
    </row>
    <row r="21" spans="1:40">
      <c r="Z21" s="31"/>
    </row>
    <row r="22" spans="1:40">
      <c r="Z22" s="31"/>
    </row>
    <row r="23" spans="1:40">
      <c r="A23" s="34"/>
      <c r="Z23" s="31"/>
    </row>
    <row r="24" spans="1:40">
      <c r="A24" s="34"/>
      <c r="Z24" s="31"/>
    </row>
    <row r="25" spans="1:40">
      <c r="A25" s="34"/>
      <c r="Z25" s="31"/>
    </row>
    <row r="26" spans="1:40">
      <c r="A26" s="34"/>
      <c r="Z26" s="31"/>
    </row>
    <row r="27" spans="1:40">
      <c r="A27" s="34"/>
      <c r="Z27" s="31"/>
    </row>
    <row r="28" spans="1:40">
      <c r="A28" s="34"/>
      <c r="G28" s="7"/>
      <c r="Z28" s="31"/>
    </row>
    <row r="29" spans="1:40">
      <c r="Z29" s="31"/>
    </row>
    <row r="30" spans="1:40">
      <c r="B30" s="56">
        <f>INDEX(B33:B276,G30,0)</f>
        <v>0</v>
      </c>
      <c r="C30" s="55" t="s">
        <v>154</v>
      </c>
      <c r="D30" s="30"/>
      <c r="E30" s="54">
        <f>INDEX(E33:E276,G30,0)</f>
        <v>0</v>
      </c>
      <c r="F30" s="54">
        <f>INDEX(F33:F276,G30,F530)</f>
        <v>0</v>
      </c>
      <c r="G30" s="53">
        <f>MATCH(I30,I33:I276,0)</f>
        <v>1</v>
      </c>
      <c r="H30" s="52" t="s">
        <v>153</v>
      </c>
      <c r="I30" s="51">
        <f>MAX(I33:I276)</f>
        <v>0</v>
      </c>
      <c r="J30" s="50" t="s">
        <v>182</v>
      </c>
      <c r="U30" s="7"/>
      <c r="X30" s="7"/>
      <c r="Z30" s="31"/>
      <c r="AD30" s="7"/>
      <c r="AM30" s="7"/>
      <c r="AN30" s="7"/>
    </row>
    <row r="31" spans="1:40">
      <c r="B31" s="49" t="s">
        <v>119</v>
      </c>
      <c r="C31" s="46" t="s">
        <v>119</v>
      </c>
      <c r="D31" s="46" t="s">
        <v>152</v>
      </c>
      <c r="E31" s="48" t="s">
        <v>151</v>
      </c>
      <c r="F31" s="47" t="s">
        <v>151</v>
      </c>
      <c r="G31" s="46" t="s">
        <v>151</v>
      </c>
      <c r="H31" s="46" t="s">
        <v>150</v>
      </c>
      <c r="I31" s="45" t="s">
        <v>149</v>
      </c>
      <c r="P31" s="7"/>
      <c r="S31" s="7"/>
      <c r="Y31" s="7"/>
      <c r="Z31" s="31"/>
      <c r="AH31" s="7"/>
      <c r="AI31" s="7"/>
    </row>
    <row r="32" spans="1:40">
      <c r="B32" s="44" t="s">
        <v>112</v>
      </c>
      <c r="C32" s="41" t="s">
        <v>148</v>
      </c>
      <c r="D32" s="41" t="s">
        <v>147</v>
      </c>
      <c r="E32" s="43" t="s">
        <v>118</v>
      </c>
      <c r="F32" s="42" t="s">
        <v>117</v>
      </c>
      <c r="G32" s="41" t="s">
        <v>659</v>
      </c>
      <c r="H32" s="41" t="s">
        <v>659</v>
      </c>
      <c r="I32" s="40" t="s">
        <v>659</v>
      </c>
      <c r="L32" s="39"/>
      <c r="U32" s="7"/>
      <c r="X32" s="7"/>
      <c r="Z32" s="31"/>
      <c r="AD32" s="7"/>
      <c r="AM32" s="7"/>
      <c r="AN32" s="7"/>
    </row>
    <row r="33" spans="2:40">
      <c r="B33" s="27">
        <v>0</v>
      </c>
      <c r="C33" s="38">
        <f t="shared" ref="C33:C96" si="0">B33/60</f>
        <v>0</v>
      </c>
      <c r="D33" s="37"/>
      <c r="E33" s="37"/>
      <c r="F33" s="37">
        <f t="shared" ref="F33:F96" si="1">E33*$B$12</f>
        <v>0</v>
      </c>
      <c r="G33" s="37">
        <f t="shared" ref="G33:G96" si="2">F33*60*B33/1000</f>
        <v>0</v>
      </c>
      <c r="H33" s="37">
        <f t="shared" ref="H33:H96" si="3">B33*60/1000*$B$14</f>
        <v>0</v>
      </c>
      <c r="I33" s="37">
        <f t="shared" ref="I33:I96" si="4">G33-H33</f>
        <v>0</v>
      </c>
      <c r="U33" s="7"/>
      <c r="X33" s="7"/>
      <c r="Z33" s="31"/>
      <c r="AD33" s="7"/>
      <c r="AM33" s="7"/>
      <c r="AN33" s="7"/>
    </row>
    <row r="34" spans="2:40">
      <c r="B34" s="27">
        <f t="shared" ref="B34:B97" si="5">+B33+0.5</f>
        <v>0.5</v>
      </c>
      <c r="C34" s="38">
        <f t="shared" si="0"/>
        <v>8.3333333333333332E-3</v>
      </c>
      <c r="D34" s="37"/>
      <c r="E34" s="37">
        <f>E35</f>
        <v>432.39748450000002</v>
      </c>
      <c r="F34" s="37">
        <f t="shared" si="1"/>
        <v>0</v>
      </c>
      <c r="G34" s="37">
        <f>F34*60*B34/1000</f>
        <v>0</v>
      </c>
      <c r="H34" s="37">
        <f t="shared" si="3"/>
        <v>0</v>
      </c>
      <c r="I34" s="37">
        <f t="shared" si="4"/>
        <v>0</v>
      </c>
      <c r="U34" s="7"/>
      <c r="X34" s="7"/>
      <c r="Z34" s="31"/>
      <c r="AD34" s="7"/>
      <c r="AM34" s="7"/>
      <c r="AN34" s="7"/>
    </row>
    <row r="35" spans="2:40">
      <c r="B35" s="33">
        <f>+B34+0.5</f>
        <v>1</v>
      </c>
      <c r="C35" s="38">
        <f t="shared" si="0"/>
        <v>1.6666666666666666E-2</v>
      </c>
      <c r="D35" s="37"/>
      <c r="E35" s="37" cm="1">
        <f t="array" ref="E35">IF(ISNUMBER(SEARCH(".5",B35)),(E34+E36)/2,INDEX(Regen!$A$1:$Z$123,MATCH(ROUND(B35,0),Regen!$A:$A,0),Berechnung_Retention!$J$9))</f>
        <v>432.39748450000002</v>
      </c>
      <c r="F35" s="37">
        <f t="shared" si="1"/>
        <v>0</v>
      </c>
      <c r="G35" s="37">
        <f>F35*60*B35/1000</f>
        <v>0</v>
      </c>
      <c r="H35" s="37">
        <f>B35*60/1000*$B$14</f>
        <v>0</v>
      </c>
      <c r="I35" s="37">
        <f>G35-H35</f>
        <v>0</v>
      </c>
      <c r="U35" s="7"/>
      <c r="X35" s="7"/>
      <c r="Z35" s="31"/>
      <c r="AD35" s="7"/>
      <c r="AM35" s="7"/>
      <c r="AN35" s="7"/>
    </row>
    <row r="36" spans="2:40">
      <c r="B36" s="33">
        <f t="shared" si="5"/>
        <v>1.5</v>
      </c>
      <c r="C36" s="38">
        <f t="shared" si="0"/>
        <v>2.5000000000000001E-2</v>
      </c>
      <c r="D36" s="37"/>
      <c r="E36" s="37" cm="1">
        <f t="array" ref="E36">IF(ISNUMBER(SEARCH(".5",B36)),(E35+E37)/2,INDEX(Regen!$A$1:$Z$123,MATCH(ROUND(B36,0),Regen!$A:$A,0),Berechnung_Retention!$J$9))</f>
        <v>432.39748450000002</v>
      </c>
      <c r="F36" s="37">
        <f t="shared" si="1"/>
        <v>0</v>
      </c>
      <c r="G36" s="37">
        <f t="shared" si="2"/>
        <v>0</v>
      </c>
      <c r="H36" s="37">
        <f t="shared" si="3"/>
        <v>0</v>
      </c>
      <c r="I36" s="37">
        <f>G36-H36</f>
        <v>0</v>
      </c>
      <c r="U36" s="7"/>
      <c r="X36" s="7"/>
      <c r="Z36" s="31"/>
      <c r="AD36" s="7"/>
      <c r="AM36" s="7"/>
      <c r="AN36" s="7"/>
    </row>
    <row r="37" spans="2:40">
      <c r="B37" s="33">
        <f t="shared" si="5"/>
        <v>2</v>
      </c>
      <c r="C37" s="38">
        <f t="shared" si="0"/>
        <v>3.3333333333333333E-2</v>
      </c>
      <c r="D37" s="37"/>
      <c r="E37" s="37" cm="1">
        <f t="array" ref="E37">IF(ISNUMBER(SEARCH(".5",B37)),(E36+E38)/2,INDEX(Regen!$A$1:$Z$123,MATCH(ROUND(B37,0),Regen!$A:$A,0),Berechnung_Retention!$J$9))</f>
        <v>432.39748450000002</v>
      </c>
      <c r="F37" s="37">
        <f t="shared" si="1"/>
        <v>0</v>
      </c>
      <c r="G37" s="37">
        <f>F37*60*B37/1000</f>
        <v>0</v>
      </c>
      <c r="H37" s="37">
        <f t="shared" si="3"/>
        <v>0</v>
      </c>
      <c r="I37" s="37">
        <f>G37-H37</f>
        <v>0</v>
      </c>
      <c r="U37" s="7"/>
      <c r="X37" s="7"/>
      <c r="Z37" s="31"/>
      <c r="AD37" s="7"/>
      <c r="AM37" s="7"/>
      <c r="AN37" s="7"/>
    </row>
    <row r="38" spans="2:40">
      <c r="B38" s="33">
        <f t="shared" si="5"/>
        <v>2.5</v>
      </c>
      <c r="C38" s="38">
        <f t="shared" si="0"/>
        <v>4.1666666666666664E-2</v>
      </c>
      <c r="D38" s="37"/>
      <c r="E38" s="37" cm="1">
        <f t="array" ref="E38">IF(ISNUMBER(SEARCH(".5",B38)),(E37+E39)/2,INDEX(Regen!$A$1:$Z$123,MATCH(ROUND(B38,0),Regen!$A:$A,0),Berechnung_Retention!$J$9))</f>
        <v>432.39748450000002</v>
      </c>
      <c r="F38" s="37">
        <f t="shared" si="1"/>
        <v>0</v>
      </c>
      <c r="G38" s="37">
        <f>F38*60*B38/1000</f>
        <v>0</v>
      </c>
      <c r="H38" s="37">
        <f t="shared" si="3"/>
        <v>0</v>
      </c>
      <c r="I38" s="37">
        <f t="shared" si="4"/>
        <v>0</v>
      </c>
      <c r="U38" s="7"/>
      <c r="X38" s="7"/>
      <c r="Z38" s="31"/>
      <c r="AD38" s="7"/>
      <c r="AM38" s="7"/>
      <c r="AN38" s="7"/>
    </row>
    <row r="39" spans="2:40">
      <c r="B39" s="33">
        <f t="shared" si="5"/>
        <v>3</v>
      </c>
      <c r="C39" s="38">
        <f t="shared" si="0"/>
        <v>0.05</v>
      </c>
      <c r="D39" s="37"/>
      <c r="E39" s="37" cm="1">
        <f t="array" ref="E39">IF(ISNUMBER(SEARCH(".5",B39)),(E38+E40)/2,INDEX(Regen!$A$1:$Z$123,MATCH(ROUND(B39,0),Regen!$A:$A,0),Berechnung_Retention!$J$9))</f>
        <v>432.39748450000002</v>
      </c>
      <c r="F39" s="37">
        <f t="shared" si="1"/>
        <v>0</v>
      </c>
      <c r="G39" s="37">
        <f>F39*60*B39/1000</f>
        <v>0</v>
      </c>
      <c r="H39" s="37">
        <f t="shared" si="3"/>
        <v>0</v>
      </c>
      <c r="I39" s="37">
        <f t="shared" si="4"/>
        <v>0</v>
      </c>
      <c r="U39" s="7"/>
      <c r="X39" s="7"/>
      <c r="Z39" s="31"/>
      <c r="AD39" s="7"/>
      <c r="AM39" s="7"/>
      <c r="AN39" s="7"/>
    </row>
    <row r="40" spans="2:40">
      <c r="B40" s="33">
        <f t="shared" si="5"/>
        <v>3.5</v>
      </c>
      <c r="C40" s="38">
        <f t="shared" si="0"/>
        <v>5.8333333333333334E-2</v>
      </c>
      <c r="D40" s="37"/>
      <c r="E40" s="37" cm="1">
        <f t="array" ref="E40">IF(ISNUMBER(SEARCH(".5",B40)),(E39+E41)/2,INDEX(Regen!$A$1:$Z$123,MATCH(ROUND(B40,0),Regen!$A:$A,0),Berechnung_Retention!$J$9))</f>
        <v>432.39748450000002</v>
      </c>
      <c r="F40" s="37">
        <f t="shared" si="1"/>
        <v>0</v>
      </c>
      <c r="G40" s="37">
        <f>F40*60*B40/1000</f>
        <v>0</v>
      </c>
      <c r="H40" s="37">
        <f>B40*60/1000*$B$14</f>
        <v>0</v>
      </c>
      <c r="I40" s="37">
        <f t="shared" si="4"/>
        <v>0</v>
      </c>
      <c r="U40" s="7"/>
      <c r="X40" s="7"/>
      <c r="Z40" s="31"/>
      <c r="AD40" s="7"/>
      <c r="AM40" s="7"/>
      <c r="AN40" s="7"/>
    </row>
    <row r="41" spans="2:40">
      <c r="B41" s="33">
        <f t="shared" si="5"/>
        <v>4</v>
      </c>
      <c r="C41" s="38">
        <f t="shared" si="0"/>
        <v>6.6666666666666666E-2</v>
      </c>
      <c r="D41" s="37"/>
      <c r="E41" s="37" cm="1">
        <f t="array" ref="E41">IF(ISNUMBER(SEARCH(".5",B41)),(E40+E42)/2,INDEX(Regen!$A$1:$Z$123,MATCH(ROUND(B41,0),Regen!$A:$A,0),Berechnung_Retention!$J$9))</f>
        <v>432.39748450000002</v>
      </c>
      <c r="F41" s="37">
        <f t="shared" si="1"/>
        <v>0</v>
      </c>
      <c r="G41" s="37">
        <f t="shared" si="2"/>
        <v>0</v>
      </c>
      <c r="H41" s="37">
        <f t="shared" si="3"/>
        <v>0</v>
      </c>
      <c r="I41" s="37">
        <f t="shared" si="4"/>
        <v>0</v>
      </c>
      <c r="U41" s="7"/>
      <c r="X41" s="7"/>
      <c r="Z41" s="31"/>
      <c r="AD41" s="7"/>
      <c r="AM41" s="7"/>
      <c r="AN41" s="7"/>
    </row>
    <row r="42" spans="2:40">
      <c r="B42" s="33">
        <f t="shared" si="5"/>
        <v>4.5</v>
      </c>
      <c r="C42" s="38">
        <f t="shared" si="0"/>
        <v>7.4999999999999997E-2</v>
      </c>
      <c r="D42" s="37"/>
      <c r="E42" s="37" cm="1">
        <f t="array" ref="E42">IF(ISNUMBER(SEARCH(".5",B42)),(E41+E43)/2,INDEX(Regen!$A$1:$Z$123,MATCH(ROUND(B42,0),Regen!$A:$A,0),Berechnung_Retention!$J$9))</f>
        <v>432.39748450000002</v>
      </c>
      <c r="F42" s="37">
        <f t="shared" si="1"/>
        <v>0</v>
      </c>
      <c r="G42" s="37">
        <f t="shared" si="2"/>
        <v>0</v>
      </c>
      <c r="H42" s="37">
        <f>B42*60/1000*$B$14</f>
        <v>0</v>
      </c>
      <c r="I42" s="37">
        <f t="shared" si="4"/>
        <v>0</v>
      </c>
      <c r="U42" s="7"/>
      <c r="X42" s="7"/>
      <c r="Z42" s="31"/>
      <c r="AD42" s="7"/>
      <c r="AM42" s="7"/>
      <c r="AN42" s="7"/>
    </row>
    <row r="43" spans="2:40">
      <c r="B43" s="33">
        <f t="shared" si="5"/>
        <v>5</v>
      </c>
      <c r="C43" s="38">
        <f t="shared" si="0"/>
        <v>8.3333333333333329E-2</v>
      </c>
      <c r="D43" s="37"/>
      <c r="E43" s="37" cm="1">
        <f t="array" ref="E43">IF(ISNUMBER(SEARCH(".5",B43)),(E42+E44)/2,INDEX(Regen!$A$1:$Z$123,MATCH(ROUND(B43,0),Regen!$A:$A,0),Berechnung_Retention!$J$9))</f>
        <v>432.39748450000002</v>
      </c>
      <c r="F43" s="37">
        <f t="shared" si="1"/>
        <v>0</v>
      </c>
      <c r="G43" s="37">
        <f t="shared" si="2"/>
        <v>0</v>
      </c>
      <c r="H43" s="37">
        <f>B43*60/1000*$B$14</f>
        <v>0</v>
      </c>
      <c r="I43" s="37">
        <f t="shared" si="4"/>
        <v>0</v>
      </c>
      <c r="P43" s="32"/>
      <c r="U43" s="7"/>
      <c r="X43" s="7"/>
      <c r="Z43" s="31"/>
      <c r="AD43" s="7"/>
      <c r="AM43" s="7"/>
      <c r="AN43" s="7"/>
    </row>
    <row r="44" spans="2:40">
      <c r="B44" s="33">
        <f t="shared" si="5"/>
        <v>5.5</v>
      </c>
      <c r="C44" s="38">
        <f t="shared" si="0"/>
        <v>9.166666666666666E-2</v>
      </c>
      <c r="D44" s="37"/>
      <c r="E44" s="37" cm="1">
        <f t="array" ref="E44">IF(ISNUMBER(SEARCH(".5",B44)),(E43+E45)/2,INDEX(Regen!$A$1:$Z$123,MATCH(ROUND(B44,0),Regen!$A:$A,0),Berechnung_Retention!$J$9))</f>
        <v>406.14045010000001</v>
      </c>
      <c r="F44" s="37">
        <f t="shared" si="1"/>
        <v>0</v>
      </c>
      <c r="G44" s="37">
        <f>F44*60*B44/1000</f>
        <v>0</v>
      </c>
      <c r="H44" s="37">
        <f>B44*60/1000*$B$14</f>
        <v>0</v>
      </c>
      <c r="I44" s="37">
        <f t="shared" si="4"/>
        <v>0</v>
      </c>
      <c r="P44" s="32"/>
      <c r="U44" s="7"/>
      <c r="X44" s="7"/>
      <c r="Z44" s="31"/>
      <c r="AD44" s="7"/>
      <c r="AM44" s="7"/>
      <c r="AN44" s="7"/>
    </row>
    <row r="45" spans="2:40">
      <c r="B45" s="33">
        <f t="shared" si="5"/>
        <v>6</v>
      </c>
      <c r="C45" s="38">
        <f t="shared" si="0"/>
        <v>0.1</v>
      </c>
      <c r="D45" s="37"/>
      <c r="E45" s="37" cm="1">
        <f t="array" ref="E45">IF(ISNUMBER(SEARCH(".5",B45)),(E44+E46)/2,INDEX(Regen!$A$1:$Z$123,MATCH(ROUND(B45,0),Regen!$A:$A,0),Berechnung_Retention!$J$9))</f>
        <v>379.8834157</v>
      </c>
      <c r="F45" s="37">
        <f t="shared" si="1"/>
        <v>0</v>
      </c>
      <c r="G45" s="37">
        <f t="shared" si="2"/>
        <v>0</v>
      </c>
      <c r="H45" s="37">
        <f>B45*60/1000*$B$14</f>
        <v>0</v>
      </c>
      <c r="I45" s="37">
        <f t="shared" si="4"/>
        <v>0</v>
      </c>
      <c r="P45" s="32"/>
      <c r="U45" s="7"/>
      <c r="X45" s="7"/>
      <c r="Z45" s="31"/>
      <c r="AD45" s="7"/>
      <c r="AM45" s="7"/>
      <c r="AN45" s="7"/>
    </row>
    <row r="46" spans="2:40">
      <c r="B46" s="33">
        <f t="shared" si="5"/>
        <v>6.5</v>
      </c>
      <c r="C46" s="38">
        <f t="shared" si="0"/>
        <v>0.10833333333333334</v>
      </c>
      <c r="D46" s="37"/>
      <c r="E46" s="37" cm="1">
        <f t="array" ref="E46">IF(ISNUMBER(SEARCH(".5",B46)),(E45+E47)/2,INDEX(Regen!$A$1:$Z$123,MATCH(ROUND(B46,0),Regen!$A:$A,0),Berechnung_Retention!$J$9))</f>
        <v>360.24958730000003</v>
      </c>
      <c r="F46" s="37">
        <f t="shared" si="1"/>
        <v>0</v>
      </c>
      <c r="G46" s="37">
        <f>F46*60*B46/1000</f>
        <v>0</v>
      </c>
      <c r="H46" s="37">
        <f t="shared" si="3"/>
        <v>0</v>
      </c>
      <c r="I46" s="37">
        <f t="shared" si="4"/>
        <v>0</v>
      </c>
      <c r="P46" s="32"/>
      <c r="U46" s="7"/>
      <c r="X46" s="7"/>
      <c r="Z46" s="31"/>
      <c r="AD46" s="7"/>
      <c r="AM46" s="7"/>
      <c r="AN46" s="7"/>
    </row>
    <row r="47" spans="2:40">
      <c r="B47" s="33">
        <f t="shared" si="5"/>
        <v>7</v>
      </c>
      <c r="C47" s="38">
        <f t="shared" si="0"/>
        <v>0.11666666666666667</v>
      </c>
      <c r="D47" s="37"/>
      <c r="E47" s="37" cm="1">
        <f t="array" ref="E47">IF(ISNUMBER(SEARCH(".5",B47)),(E46+E48)/2,INDEX(Regen!$A$1:$Z$123,MATCH(ROUND(B47,0),Regen!$A:$A,0),Berechnung_Retention!$J$9))</f>
        <v>340.6157589</v>
      </c>
      <c r="F47" s="37">
        <f t="shared" si="1"/>
        <v>0</v>
      </c>
      <c r="G47" s="37">
        <f t="shared" si="2"/>
        <v>0</v>
      </c>
      <c r="H47" s="37">
        <f t="shared" si="3"/>
        <v>0</v>
      </c>
      <c r="I47" s="37">
        <f t="shared" si="4"/>
        <v>0</v>
      </c>
      <c r="P47" s="32"/>
      <c r="U47" s="7"/>
      <c r="X47" s="7"/>
      <c r="Z47" s="31"/>
      <c r="AD47" s="7"/>
      <c r="AM47" s="7"/>
      <c r="AN47" s="7"/>
    </row>
    <row r="48" spans="2:40">
      <c r="B48" s="33">
        <f t="shared" si="5"/>
        <v>7.5</v>
      </c>
      <c r="C48" s="38">
        <f t="shared" si="0"/>
        <v>0.125</v>
      </c>
      <c r="D48" s="37"/>
      <c r="E48" s="37" cm="1">
        <f t="array" ref="E48">IF(ISNUMBER(SEARCH(".5",B48)),(E47+E49)/2,INDEX(Regen!$A$1:$Z$123,MATCH(ROUND(B48,0),Regen!$A:$A,0),Berechnung_Retention!$J$9))</f>
        <v>325.29857955</v>
      </c>
      <c r="F48" s="37">
        <f t="shared" si="1"/>
        <v>0</v>
      </c>
      <c r="G48" s="37">
        <f t="shared" si="2"/>
        <v>0</v>
      </c>
      <c r="H48" s="37">
        <f>B48*60/1000*$B$14</f>
        <v>0</v>
      </c>
      <c r="I48" s="37">
        <f t="shared" si="4"/>
        <v>0</v>
      </c>
      <c r="P48" s="32"/>
      <c r="U48" s="7"/>
      <c r="X48" s="7"/>
      <c r="Z48" s="31"/>
      <c r="AD48" s="7"/>
      <c r="AM48" s="7"/>
      <c r="AN48" s="7"/>
    </row>
    <row r="49" spans="2:40">
      <c r="B49" s="33">
        <f t="shared" si="5"/>
        <v>8</v>
      </c>
      <c r="C49" s="38">
        <f t="shared" si="0"/>
        <v>0.13333333333333333</v>
      </c>
      <c r="D49" s="37"/>
      <c r="E49" s="37" cm="1">
        <f t="array" ref="E49">IF(ISNUMBER(SEARCH(".5",B49)),(E48+E50)/2,INDEX(Regen!$A$1:$Z$123,MATCH(ROUND(B49,0),Regen!$A:$A,0),Berechnung_Retention!$J$9))</f>
        <v>309.9814002</v>
      </c>
      <c r="F49" s="37">
        <f t="shared" si="1"/>
        <v>0</v>
      </c>
      <c r="G49" s="37">
        <f t="shared" si="2"/>
        <v>0</v>
      </c>
      <c r="H49" s="37">
        <f t="shared" si="3"/>
        <v>0</v>
      </c>
      <c r="I49" s="37">
        <f t="shared" si="4"/>
        <v>0</v>
      </c>
      <c r="P49" s="32"/>
      <c r="U49" s="7"/>
      <c r="X49" s="7"/>
      <c r="Z49" s="31"/>
      <c r="AD49" s="7"/>
      <c r="AM49" s="7"/>
      <c r="AN49" s="7"/>
    </row>
    <row r="50" spans="2:40">
      <c r="B50" s="33">
        <f t="shared" si="5"/>
        <v>8.5</v>
      </c>
      <c r="C50" s="38">
        <f t="shared" si="0"/>
        <v>0.14166666666666666</v>
      </c>
      <c r="D50" s="37"/>
      <c r="E50" s="37" cm="1">
        <f t="array" ref="E50">IF(ISNUMBER(SEARCH(".5",B50)),(E49+E51)/2,INDEX(Regen!$A$1:$Z$123,MATCH(ROUND(B50,0),Regen!$A:$A,0),Berechnung_Retention!$J$9))</f>
        <v>297.64836185000001</v>
      </c>
      <c r="F50" s="37">
        <f t="shared" si="1"/>
        <v>0</v>
      </c>
      <c r="G50" s="37">
        <f t="shared" si="2"/>
        <v>0</v>
      </c>
      <c r="H50" s="37">
        <f t="shared" si="3"/>
        <v>0</v>
      </c>
      <c r="I50" s="37">
        <f t="shared" si="4"/>
        <v>0</v>
      </c>
      <c r="P50" s="32"/>
      <c r="U50" s="7"/>
      <c r="X50" s="7"/>
      <c r="Z50" s="31"/>
      <c r="AD50" s="7"/>
      <c r="AM50" s="7"/>
      <c r="AN50" s="7"/>
    </row>
    <row r="51" spans="2:40">
      <c r="B51" s="33">
        <f t="shared" si="5"/>
        <v>9</v>
      </c>
      <c r="C51" s="38">
        <f t="shared" si="0"/>
        <v>0.15</v>
      </c>
      <c r="D51" s="37"/>
      <c r="E51" s="37" cm="1">
        <f t="array" ref="E51">IF(ISNUMBER(SEARCH(".5",B51)),(E50+E52)/2,INDEX(Regen!$A$1:$Z$123,MATCH(ROUND(B51,0),Regen!$A:$A,0),Berechnung_Retention!$J$9))</f>
        <v>285.31532349999998</v>
      </c>
      <c r="F51" s="37">
        <f t="shared" si="1"/>
        <v>0</v>
      </c>
      <c r="G51" s="37">
        <f t="shared" si="2"/>
        <v>0</v>
      </c>
      <c r="H51" s="37">
        <f t="shared" si="3"/>
        <v>0</v>
      </c>
      <c r="I51" s="37">
        <f t="shared" si="4"/>
        <v>0</v>
      </c>
      <c r="P51" s="32"/>
      <c r="U51" s="7"/>
      <c r="X51" s="7"/>
      <c r="Z51" s="31"/>
      <c r="AD51" s="7"/>
      <c r="AM51" s="7"/>
      <c r="AN51" s="7"/>
    </row>
    <row r="52" spans="2:40">
      <c r="B52" s="33">
        <f t="shared" si="5"/>
        <v>9.5</v>
      </c>
      <c r="C52" s="38">
        <f t="shared" si="0"/>
        <v>0.15833333333333333</v>
      </c>
      <c r="D52" s="37"/>
      <c r="E52" s="37" cm="1">
        <f t="array" ref="E52">IF(ISNUMBER(SEARCH(".5",B52)),(E51+E53)/2,INDEX(Regen!$A$1:$Z$123,MATCH(ROUND(B52,0),Regen!$A:$A,0),Berechnung_Retention!$J$9))</f>
        <v>275.13924599999996</v>
      </c>
      <c r="F52" s="37">
        <f t="shared" si="1"/>
        <v>0</v>
      </c>
      <c r="G52" s="37">
        <f t="shared" si="2"/>
        <v>0</v>
      </c>
      <c r="H52" s="37">
        <f t="shared" si="3"/>
        <v>0</v>
      </c>
      <c r="I52" s="37">
        <f t="shared" si="4"/>
        <v>0</v>
      </c>
      <c r="P52" s="32"/>
      <c r="U52" s="7"/>
      <c r="X52" s="7"/>
      <c r="Z52" s="31"/>
      <c r="AD52" s="7"/>
      <c r="AM52" s="7"/>
      <c r="AN52" s="7"/>
    </row>
    <row r="53" spans="2:40">
      <c r="B53" s="33">
        <f t="shared" si="5"/>
        <v>10</v>
      </c>
      <c r="C53" s="38">
        <f t="shared" si="0"/>
        <v>0.16666666666666666</v>
      </c>
      <c r="D53" s="37"/>
      <c r="E53" s="37" cm="1">
        <f t="array" ref="E53">IF(ISNUMBER(SEARCH(".5",B53)),(E52+E54)/2,INDEX(Regen!$A$1:$Z$123,MATCH(ROUND(B53,0),Regen!$A:$A,0),Berechnung_Retention!$J$9))</f>
        <v>264.96316849999999</v>
      </c>
      <c r="F53" s="37">
        <f t="shared" si="1"/>
        <v>0</v>
      </c>
      <c r="G53" s="37">
        <f t="shared" si="2"/>
        <v>0</v>
      </c>
      <c r="H53" s="37">
        <f t="shared" si="3"/>
        <v>0</v>
      </c>
      <c r="I53" s="37">
        <f t="shared" si="4"/>
        <v>0</v>
      </c>
      <c r="P53" s="32"/>
      <c r="U53" s="7"/>
      <c r="X53" s="7"/>
      <c r="Z53" s="31"/>
      <c r="AD53" s="7"/>
      <c r="AM53" s="7"/>
      <c r="AN53" s="7"/>
    </row>
    <row r="54" spans="2:40">
      <c r="B54" s="33">
        <f t="shared" si="5"/>
        <v>10.5</v>
      </c>
      <c r="C54" s="38">
        <f t="shared" si="0"/>
        <v>0.17499999999999999</v>
      </c>
      <c r="D54" s="37"/>
      <c r="E54" s="37" cm="1">
        <f t="array" ref="E54">IF(ISNUMBER(SEARCH(".5",B54)),(E53+E55)/2,INDEX(Regen!$A$1:$Z$123,MATCH(ROUND(B54,0),Regen!$A:$A,0),Berechnung_Retention!$J$9))</f>
        <v>256.40153425</v>
      </c>
      <c r="F54" s="37">
        <f t="shared" si="1"/>
        <v>0</v>
      </c>
      <c r="G54" s="37">
        <f t="shared" si="2"/>
        <v>0</v>
      </c>
      <c r="H54" s="37">
        <f t="shared" si="3"/>
        <v>0</v>
      </c>
      <c r="I54" s="37">
        <f t="shared" si="4"/>
        <v>0</v>
      </c>
      <c r="P54" s="32"/>
      <c r="U54" s="7"/>
      <c r="X54" s="7"/>
      <c r="Z54" s="31"/>
      <c r="AD54" s="7"/>
      <c r="AM54" s="7"/>
      <c r="AN54" s="7"/>
    </row>
    <row r="55" spans="2:40">
      <c r="B55" s="33">
        <f t="shared" si="5"/>
        <v>11</v>
      </c>
      <c r="C55" s="38">
        <f t="shared" si="0"/>
        <v>0.18333333333333332</v>
      </c>
      <c r="D55" s="37"/>
      <c r="E55" s="37" cm="1">
        <f t="array" ref="E55">IF(ISNUMBER(SEARCH(".5",B55)),(E54+E56)/2,INDEX(Regen!$A$1:$Z$123,MATCH(ROUND(B55,0),Regen!$A:$A,0),Berechnung_Retention!$J$9))</f>
        <v>247.8399</v>
      </c>
      <c r="F55" s="37">
        <f t="shared" si="1"/>
        <v>0</v>
      </c>
      <c r="G55" s="37">
        <f t="shared" si="2"/>
        <v>0</v>
      </c>
      <c r="H55" s="37">
        <f t="shared" si="3"/>
        <v>0</v>
      </c>
      <c r="I55" s="37">
        <f t="shared" si="4"/>
        <v>0</v>
      </c>
      <c r="P55" s="32"/>
      <c r="U55" s="7"/>
      <c r="X55" s="7"/>
      <c r="Z55" s="31"/>
      <c r="AD55" s="7"/>
      <c r="AM55" s="7"/>
      <c r="AN55" s="7"/>
    </row>
    <row r="56" spans="2:40">
      <c r="B56" s="33">
        <f t="shared" si="5"/>
        <v>11.5</v>
      </c>
      <c r="C56" s="38">
        <f t="shared" si="0"/>
        <v>0.19166666666666668</v>
      </c>
      <c r="D56" s="37"/>
      <c r="E56" s="37" cm="1">
        <f t="array" ref="E56">IF(ISNUMBER(SEARCH(".5",B56)),(E55+E57)/2,INDEX(Regen!$A$1:$Z$123,MATCH(ROUND(B56,0),Regen!$A:$A,0),Berechnung_Retention!$J$9))</f>
        <v>240.52107615</v>
      </c>
      <c r="F56" s="37">
        <f t="shared" si="1"/>
        <v>0</v>
      </c>
      <c r="G56" s="37">
        <f t="shared" si="2"/>
        <v>0</v>
      </c>
      <c r="H56" s="37">
        <f t="shared" si="3"/>
        <v>0</v>
      </c>
      <c r="I56" s="37">
        <f t="shared" si="4"/>
        <v>0</v>
      </c>
      <c r="P56" s="32"/>
      <c r="U56" s="7"/>
      <c r="X56" s="7"/>
      <c r="Z56" s="31"/>
      <c r="AD56" s="7"/>
      <c r="AM56" s="7"/>
      <c r="AN56" s="7"/>
    </row>
    <row r="57" spans="2:40">
      <c r="B57" s="33">
        <f t="shared" si="5"/>
        <v>12</v>
      </c>
      <c r="C57" s="38">
        <f t="shared" si="0"/>
        <v>0.2</v>
      </c>
      <c r="D57" s="37"/>
      <c r="E57" s="37" cm="1">
        <f t="array" ref="E57">IF(ISNUMBER(SEARCH(".5",B57)),(E56+E58)/2,INDEX(Regen!$A$1:$Z$123,MATCH(ROUND(B57,0),Regen!$A:$A,0),Berechnung_Retention!$J$9))</f>
        <v>233.2022523</v>
      </c>
      <c r="F57" s="37">
        <f t="shared" si="1"/>
        <v>0</v>
      </c>
      <c r="G57" s="37">
        <f t="shared" si="2"/>
        <v>0</v>
      </c>
      <c r="H57" s="37">
        <f t="shared" si="3"/>
        <v>0</v>
      </c>
      <c r="I57" s="37">
        <f t="shared" si="4"/>
        <v>0</v>
      </c>
      <c r="P57" s="32"/>
      <c r="U57" s="7"/>
      <c r="X57" s="7"/>
      <c r="Z57" s="31"/>
      <c r="AD57" s="7"/>
      <c r="AM57" s="7"/>
      <c r="AN57" s="7"/>
    </row>
    <row r="58" spans="2:40">
      <c r="B58" s="33">
        <f t="shared" si="5"/>
        <v>12.5</v>
      </c>
      <c r="C58" s="38">
        <f t="shared" si="0"/>
        <v>0.20833333333333334</v>
      </c>
      <c r="D58" s="37"/>
      <c r="E58" s="37" cm="1">
        <f t="array" ref="E58">IF(ISNUMBER(SEARCH(".5",B58)),(E57+E59)/2,INDEX(Regen!$A$1:$Z$123,MATCH(ROUND(B58,0),Regen!$A:$A,0),Berechnung_Retention!$J$9))</f>
        <v>226.86252185000001</v>
      </c>
      <c r="F58" s="37">
        <f t="shared" si="1"/>
        <v>0</v>
      </c>
      <c r="G58" s="37">
        <f t="shared" si="2"/>
        <v>0</v>
      </c>
      <c r="H58" s="37">
        <f t="shared" si="3"/>
        <v>0</v>
      </c>
      <c r="I58" s="37">
        <f t="shared" si="4"/>
        <v>0</v>
      </c>
      <c r="P58" s="32"/>
      <c r="U58" s="7"/>
      <c r="X58" s="7"/>
      <c r="Z58" s="31"/>
      <c r="AD58" s="7"/>
      <c r="AM58" s="7"/>
      <c r="AN58" s="7"/>
    </row>
    <row r="59" spans="2:40">
      <c r="B59" s="33">
        <f t="shared" si="5"/>
        <v>13</v>
      </c>
      <c r="C59" s="38">
        <f t="shared" si="0"/>
        <v>0.21666666666666667</v>
      </c>
      <c r="D59" s="37"/>
      <c r="E59" s="37" cm="1">
        <f t="array" ref="E59">IF(ISNUMBER(SEARCH(".5",B59)),(E58+E60)/2,INDEX(Regen!$A$1:$Z$123,MATCH(ROUND(B59,0),Regen!$A:$A,0),Berechnung_Retention!$J$9))</f>
        <v>220.52279139999999</v>
      </c>
      <c r="F59" s="37">
        <f t="shared" si="1"/>
        <v>0</v>
      </c>
      <c r="G59" s="37">
        <f t="shared" si="2"/>
        <v>0</v>
      </c>
      <c r="H59" s="37">
        <f t="shared" si="3"/>
        <v>0</v>
      </c>
      <c r="I59" s="37">
        <f t="shared" si="4"/>
        <v>0</v>
      </c>
      <c r="P59" s="32"/>
      <c r="U59" s="7"/>
      <c r="X59" s="7"/>
      <c r="Z59" s="31"/>
      <c r="AD59" s="7"/>
      <c r="AM59" s="7"/>
      <c r="AN59" s="7"/>
    </row>
    <row r="60" spans="2:40">
      <c r="B60" s="33">
        <f t="shared" si="5"/>
        <v>13.5</v>
      </c>
      <c r="C60" s="38">
        <f t="shared" si="0"/>
        <v>0.22500000000000001</v>
      </c>
      <c r="D60" s="37"/>
      <c r="E60" s="37" cm="1">
        <f t="array" ref="E60">IF(ISNUMBER(SEARCH(".5",B60)),(E59+E61)/2,INDEX(Regen!$A$1:$Z$123,MATCH(ROUND(B60,0),Regen!$A:$A,0),Berechnung_Retention!$J$9))</f>
        <v>214.96946745</v>
      </c>
      <c r="F60" s="37">
        <f t="shared" si="1"/>
        <v>0</v>
      </c>
      <c r="G60" s="37">
        <f t="shared" si="2"/>
        <v>0</v>
      </c>
      <c r="H60" s="37">
        <f t="shared" si="3"/>
        <v>0</v>
      </c>
      <c r="I60" s="37">
        <f t="shared" si="4"/>
        <v>0</v>
      </c>
      <c r="P60" s="32"/>
      <c r="U60" s="7"/>
      <c r="X60" s="7"/>
      <c r="Z60" s="31"/>
      <c r="AD60" s="7"/>
      <c r="AM60" s="7"/>
      <c r="AN60" s="7"/>
    </row>
    <row r="61" spans="2:40">
      <c r="B61" s="33">
        <f t="shared" si="5"/>
        <v>14</v>
      </c>
      <c r="C61" s="38">
        <f t="shared" si="0"/>
        <v>0.23333333333333334</v>
      </c>
      <c r="D61" s="37"/>
      <c r="E61" s="37" cm="1">
        <f t="array" ref="E61">IF(ISNUMBER(SEARCH(".5",B61)),(E60+E62)/2,INDEX(Regen!$A$1:$Z$123,MATCH(ROUND(B61,0),Regen!$A:$A,0),Berechnung_Retention!$J$9))</f>
        <v>209.4161435</v>
      </c>
      <c r="F61" s="37">
        <f t="shared" si="1"/>
        <v>0</v>
      </c>
      <c r="G61" s="37">
        <f t="shared" si="2"/>
        <v>0</v>
      </c>
      <c r="H61" s="37">
        <f t="shared" si="3"/>
        <v>0</v>
      </c>
      <c r="I61" s="37">
        <f t="shared" si="4"/>
        <v>0</v>
      </c>
      <c r="P61" s="32"/>
      <c r="U61" s="7"/>
      <c r="X61" s="7"/>
      <c r="Z61" s="31"/>
      <c r="AD61" s="7"/>
      <c r="AM61" s="7"/>
      <c r="AN61" s="7"/>
    </row>
    <row r="62" spans="2:40">
      <c r="B62" s="33">
        <f t="shared" si="5"/>
        <v>14.5</v>
      </c>
      <c r="C62" s="38">
        <f t="shared" si="0"/>
        <v>0.24166666666666667</v>
      </c>
      <c r="D62" s="37"/>
      <c r="E62" s="37" cm="1">
        <f t="array" ref="E62">IF(ISNUMBER(SEARCH(".5",B62)),(E61+E63)/2,INDEX(Regen!$A$1:$Z$123,MATCH(ROUND(B62,0),Regen!$A:$A,0),Berechnung_Retention!$J$9))</f>
        <v>204.504931</v>
      </c>
      <c r="F62" s="37">
        <f t="shared" si="1"/>
        <v>0</v>
      </c>
      <c r="G62" s="37">
        <f t="shared" si="2"/>
        <v>0</v>
      </c>
      <c r="H62" s="37">
        <f t="shared" si="3"/>
        <v>0</v>
      </c>
      <c r="I62" s="37">
        <f t="shared" si="4"/>
        <v>0</v>
      </c>
      <c r="P62" s="32"/>
      <c r="U62" s="7"/>
      <c r="X62" s="7"/>
      <c r="Z62" s="31"/>
      <c r="AD62" s="7"/>
      <c r="AM62" s="7"/>
      <c r="AN62" s="7"/>
    </row>
    <row r="63" spans="2:40">
      <c r="B63" s="33">
        <f t="shared" si="5"/>
        <v>15</v>
      </c>
      <c r="C63" s="38">
        <f t="shared" si="0"/>
        <v>0.25</v>
      </c>
      <c r="D63" s="37"/>
      <c r="E63" s="37" cm="1">
        <f t="array" ref="E63">IF(ISNUMBER(SEARCH(".5",B63)),(E62+E64)/2,INDEX(Regen!$A$1:$Z$123,MATCH(ROUND(B63,0),Regen!$A:$A,0),Berechnung_Retention!$J$9))</f>
        <v>199.59371849999999</v>
      </c>
      <c r="F63" s="37">
        <f t="shared" si="1"/>
        <v>0</v>
      </c>
      <c r="G63" s="37">
        <f t="shared" si="2"/>
        <v>0</v>
      </c>
      <c r="H63" s="37">
        <f t="shared" si="3"/>
        <v>0</v>
      </c>
      <c r="I63" s="37">
        <f t="shared" si="4"/>
        <v>0</v>
      </c>
      <c r="P63" s="32"/>
      <c r="U63" s="7"/>
      <c r="X63" s="7"/>
      <c r="Z63" s="31"/>
      <c r="AD63" s="7"/>
      <c r="AM63" s="7"/>
      <c r="AN63" s="7"/>
    </row>
    <row r="64" spans="2:40">
      <c r="B64" s="33">
        <f t="shared" si="5"/>
        <v>15.5</v>
      </c>
      <c r="C64" s="38">
        <f>B64/60</f>
        <v>0.25833333333333336</v>
      </c>
      <c r="D64" s="37"/>
      <c r="E64" s="37" cm="1">
        <f t="array" ref="E64">IF(ISNUMBER(SEARCH(".5",B64)),(E63+E65)/2,INDEX(Regen!$A$1:$Z$123,MATCH(ROUND(B64,0),Regen!$A:$A,0),Berechnung_Retention!$J$9))</f>
        <v>195.21426679999999</v>
      </c>
      <c r="F64" s="37">
        <f t="shared" si="1"/>
        <v>0</v>
      </c>
      <c r="G64" s="37">
        <f t="shared" si="2"/>
        <v>0</v>
      </c>
      <c r="H64" s="37">
        <f t="shared" si="3"/>
        <v>0</v>
      </c>
      <c r="I64" s="37">
        <f t="shared" si="4"/>
        <v>0</v>
      </c>
      <c r="P64" s="32"/>
      <c r="U64" s="7"/>
      <c r="X64" s="7"/>
      <c r="Z64" s="31"/>
      <c r="AD64" s="7"/>
      <c r="AM64" s="7"/>
      <c r="AN64" s="7"/>
    </row>
    <row r="65" spans="2:40">
      <c r="B65" s="33">
        <f t="shared" si="5"/>
        <v>16</v>
      </c>
      <c r="C65" s="38">
        <f>B65/60</f>
        <v>0.26666666666666666</v>
      </c>
      <c r="D65" s="37"/>
      <c r="E65" s="37" cm="1">
        <f t="array" ref="E65">IF(ISNUMBER(SEARCH(".5",B65)),(E64+E66)/2,INDEX(Regen!$A$1:$Z$123,MATCH(ROUND(B65,0),Regen!$A:$A,0),Berechnung_Retention!$J$9))</f>
        <v>190.83481509999999</v>
      </c>
      <c r="F65" s="37">
        <f t="shared" si="1"/>
        <v>0</v>
      </c>
      <c r="G65" s="37">
        <f t="shared" si="2"/>
        <v>0</v>
      </c>
      <c r="H65" s="37">
        <f t="shared" si="3"/>
        <v>0</v>
      </c>
      <c r="I65" s="37">
        <f t="shared" si="4"/>
        <v>0</v>
      </c>
      <c r="P65" s="32"/>
      <c r="U65" s="7"/>
      <c r="X65" s="7"/>
      <c r="Z65" s="31"/>
      <c r="AD65" s="7"/>
      <c r="AM65" s="7"/>
      <c r="AN65" s="7"/>
    </row>
    <row r="66" spans="2:40">
      <c r="B66" s="33">
        <f t="shared" si="5"/>
        <v>16.5</v>
      </c>
      <c r="C66" s="38">
        <f>B66/60</f>
        <v>0.27500000000000002</v>
      </c>
      <c r="D66" s="37"/>
      <c r="E66" s="37" cm="1">
        <f t="array" ref="E66">IF(ISNUMBER(SEARCH(".5",B66)),(E65+E67)/2,INDEX(Regen!$A$1:$Z$123,MATCH(ROUND(B66,0),Regen!$A:$A,0),Berechnung_Retention!$J$9))</f>
        <v>186.90118695000001</v>
      </c>
      <c r="F66" s="37">
        <f t="shared" si="1"/>
        <v>0</v>
      </c>
      <c r="G66" s="37">
        <f t="shared" si="2"/>
        <v>0</v>
      </c>
      <c r="H66" s="37">
        <f t="shared" si="3"/>
        <v>0</v>
      </c>
      <c r="I66" s="37">
        <f t="shared" si="4"/>
        <v>0</v>
      </c>
      <c r="P66" s="32"/>
      <c r="U66" s="7"/>
      <c r="X66" s="7"/>
      <c r="Z66" s="31"/>
      <c r="AD66" s="7"/>
      <c r="AM66" s="7"/>
      <c r="AN66" s="7"/>
    </row>
    <row r="67" spans="2:40">
      <c r="B67" s="33">
        <f t="shared" si="5"/>
        <v>17</v>
      </c>
      <c r="C67" s="38">
        <f t="shared" si="0"/>
        <v>0.28333333333333333</v>
      </c>
      <c r="D67" s="37"/>
      <c r="E67" s="37" cm="1">
        <f t="array" ref="E67">IF(ISNUMBER(SEARCH(".5",B67)),(E66+E68)/2,INDEX(Regen!$A$1:$Z$123,MATCH(ROUND(B67,0),Regen!$A:$A,0),Berechnung_Retention!$J$9))</f>
        <v>182.96755880000001</v>
      </c>
      <c r="F67" s="37">
        <f t="shared" si="1"/>
        <v>0</v>
      </c>
      <c r="G67" s="37">
        <f t="shared" si="2"/>
        <v>0</v>
      </c>
      <c r="H67" s="37">
        <f t="shared" si="3"/>
        <v>0</v>
      </c>
      <c r="I67" s="37">
        <f t="shared" si="4"/>
        <v>0</v>
      </c>
      <c r="P67" s="32"/>
      <c r="U67" s="7"/>
      <c r="X67" s="7"/>
      <c r="Z67" s="31"/>
      <c r="AD67" s="7"/>
      <c r="AM67" s="7"/>
      <c r="AN67" s="7"/>
    </row>
    <row r="68" spans="2:40">
      <c r="B68" s="33">
        <f t="shared" si="5"/>
        <v>17.5</v>
      </c>
      <c r="C68" s="38">
        <f>B68/60</f>
        <v>0.29166666666666669</v>
      </c>
      <c r="D68" s="37"/>
      <c r="E68" s="37" cm="1">
        <f t="array" ref="E68">IF(ISNUMBER(SEARCH(".5",B68)),(E67+E69)/2,INDEX(Regen!$A$1:$Z$123,MATCH(ROUND(B68,0),Regen!$A:$A,0),Berechnung_Retention!$J$9))</f>
        <v>179.41176045</v>
      </c>
      <c r="F68" s="37">
        <f t="shared" si="1"/>
        <v>0</v>
      </c>
      <c r="G68" s="37">
        <f t="shared" si="2"/>
        <v>0</v>
      </c>
      <c r="H68" s="37">
        <f t="shared" si="3"/>
        <v>0</v>
      </c>
      <c r="I68" s="37">
        <f t="shared" si="4"/>
        <v>0</v>
      </c>
      <c r="P68" s="32"/>
      <c r="U68" s="7"/>
      <c r="X68" s="7"/>
      <c r="Z68" s="31"/>
      <c r="AD68" s="7"/>
      <c r="AM68" s="7"/>
      <c r="AN68" s="7"/>
    </row>
    <row r="69" spans="2:40">
      <c r="B69" s="33">
        <f t="shared" si="5"/>
        <v>18</v>
      </c>
      <c r="C69" s="38">
        <f>B69/60</f>
        <v>0.3</v>
      </c>
      <c r="D69" s="37"/>
      <c r="E69" s="37" cm="1">
        <f t="array" ref="E69">IF(ISNUMBER(SEARCH(".5",B69)),(E68+E70)/2,INDEX(Regen!$A$1:$Z$123,MATCH(ROUND(B69,0),Regen!$A:$A,0),Berechnung_Retention!$J$9))</f>
        <v>175.8559621</v>
      </c>
      <c r="F69" s="37">
        <f t="shared" si="1"/>
        <v>0</v>
      </c>
      <c r="G69" s="37">
        <f t="shared" si="2"/>
        <v>0</v>
      </c>
      <c r="H69" s="37">
        <f t="shared" si="3"/>
        <v>0</v>
      </c>
      <c r="I69" s="37">
        <f t="shared" si="4"/>
        <v>0</v>
      </c>
      <c r="P69" s="32"/>
      <c r="U69" s="7"/>
      <c r="X69" s="7"/>
      <c r="Z69" s="31"/>
      <c r="AD69" s="7"/>
      <c r="AM69" s="7"/>
      <c r="AN69" s="7"/>
    </row>
    <row r="70" spans="2:40">
      <c r="B70" s="33">
        <f t="shared" si="5"/>
        <v>18.5</v>
      </c>
      <c r="C70" s="38">
        <f>B70/60</f>
        <v>0.30833333333333335</v>
      </c>
      <c r="D70" s="37"/>
      <c r="E70" s="37" cm="1">
        <f t="array" ref="E70">IF(ISNUMBER(SEARCH(".5",B70)),(E69+E71)/2,INDEX(Regen!$A$1:$Z$123,MATCH(ROUND(B70,0),Regen!$A:$A,0),Berechnung_Retention!$J$9))</f>
        <v>172.62344109999998</v>
      </c>
      <c r="F70" s="37">
        <f t="shared" si="1"/>
        <v>0</v>
      </c>
      <c r="G70" s="37">
        <f t="shared" si="2"/>
        <v>0</v>
      </c>
      <c r="H70" s="37">
        <f t="shared" si="3"/>
        <v>0</v>
      </c>
      <c r="I70" s="37">
        <f t="shared" si="4"/>
        <v>0</v>
      </c>
      <c r="P70" s="32"/>
      <c r="U70" s="7"/>
      <c r="X70" s="7"/>
      <c r="Z70" s="31"/>
      <c r="AD70" s="7"/>
      <c r="AM70" s="7"/>
      <c r="AN70" s="7"/>
    </row>
    <row r="71" spans="2:40">
      <c r="B71" s="33">
        <f t="shared" si="5"/>
        <v>19</v>
      </c>
      <c r="C71" s="38">
        <f>B71/60</f>
        <v>0.31666666666666665</v>
      </c>
      <c r="D71" s="37"/>
      <c r="E71" s="37" cm="1">
        <f t="array" ref="E71">IF(ISNUMBER(SEARCH(".5",B71)),(E70+E72)/2,INDEX(Regen!$A$1:$Z$123,MATCH(ROUND(B71,0),Regen!$A:$A,0),Berechnung_Retention!$J$9))</f>
        <v>169.39092009999999</v>
      </c>
      <c r="F71" s="37">
        <f t="shared" si="1"/>
        <v>0</v>
      </c>
      <c r="G71" s="37">
        <f t="shared" si="2"/>
        <v>0</v>
      </c>
      <c r="H71" s="37">
        <f t="shared" si="3"/>
        <v>0</v>
      </c>
      <c r="I71" s="37">
        <f t="shared" si="4"/>
        <v>0</v>
      </c>
      <c r="P71" s="32"/>
      <c r="U71" s="7"/>
      <c r="X71" s="7"/>
      <c r="Z71" s="31"/>
      <c r="AD71" s="7"/>
      <c r="AM71" s="7"/>
      <c r="AN71" s="7"/>
    </row>
    <row r="72" spans="2:40">
      <c r="B72" s="33">
        <f t="shared" si="5"/>
        <v>19.5</v>
      </c>
      <c r="C72" s="38">
        <f t="shared" si="0"/>
        <v>0.32500000000000001</v>
      </c>
      <c r="D72" s="37"/>
      <c r="E72" s="37" cm="1">
        <f t="array" ref="E72">IF(ISNUMBER(SEARCH(".5",B72)),(E71+E73)/2,INDEX(Regen!$A$1:$Z$123,MATCH(ROUND(B72,0),Regen!$A:$A,0),Berechnung_Retention!$J$9))</f>
        <v>166.43736319999999</v>
      </c>
      <c r="F72" s="37">
        <f t="shared" si="1"/>
        <v>0</v>
      </c>
      <c r="G72" s="37">
        <f t="shared" si="2"/>
        <v>0</v>
      </c>
      <c r="H72" s="37">
        <f t="shared" si="3"/>
        <v>0</v>
      </c>
      <c r="I72" s="37">
        <f t="shared" si="4"/>
        <v>0</v>
      </c>
      <c r="P72" s="32"/>
      <c r="U72" s="7"/>
      <c r="X72" s="7"/>
      <c r="Z72" s="31"/>
      <c r="AD72" s="7"/>
      <c r="AM72" s="7"/>
      <c r="AN72" s="7"/>
    </row>
    <row r="73" spans="2:40">
      <c r="B73" s="33">
        <f t="shared" si="5"/>
        <v>20</v>
      </c>
      <c r="C73" s="38">
        <f>B73/60</f>
        <v>0.33333333333333331</v>
      </c>
      <c r="D73" s="37"/>
      <c r="E73" s="37" cm="1">
        <f t="array" ref="E73">IF(ISNUMBER(SEARCH(".5",B73)),(E72+E74)/2,INDEX(Regen!$A$1:$Z$123,MATCH(ROUND(B73,0),Regen!$A:$A,0),Berechnung_Retention!$J$9))</f>
        <v>163.4838063</v>
      </c>
      <c r="F73" s="37">
        <f t="shared" si="1"/>
        <v>0</v>
      </c>
      <c r="G73" s="37">
        <f t="shared" si="2"/>
        <v>0</v>
      </c>
      <c r="H73" s="37">
        <f t="shared" si="3"/>
        <v>0</v>
      </c>
      <c r="I73" s="37">
        <f t="shared" si="4"/>
        <v>0</v>
      </c>
      <c r="P73" s="32"/>
      <c r="U73" s="7"/>
      <c r="X73" s="7"/>
      <c r="Z73" s="31"/>
      <c r="AD73" s="7"/>
      <c r="AM73" s="7"/>
      <c r="AN73" s="7"/>
    </row>
    <row r="74" spans="2:40">
      <c r="B74" s="33">
        <f t="shared" si="5"/>
        <v>20.5</v>
      </c>
      <c r="C74" s="38">
        <f>B74/60</f>
        <v>0.34166666666666667</v>
      </c>
      <c r="D74" s="37"/>
      <c r="E74" s="37" cm="1">
        <f t="array" ref="E74">IF(ISNUMBER(SEARCH(".5",B74)),(E73+E75)/2,INDEX(Regen!$A$1:$Z$123,MATCH(ROUND(B74,0),Regen!$A:$A,0),Berechnung_Retention!$J$9))</f>
        <v>160.77281705000001</v>
      </c>
      <c r="F74" s="37">
        <f t="shared" si="1"/>
        <v>0</v>
      </c>
      <c r="G74" s="37">
        <f t="shared" si="2"/>
        <v>0</v>
      </c>
      <c r="H74" s="37">
        <f t="shared" si="3"/>
        <v>0</v>
      </c>
      <c r="I74" s="37">
        <f t="shared" si="4"/>
        <v>0</v>
      </c>
      <c r="P74" s="32"/>
      <c r="U74" s="7"/>
      <c r="X74" s="7"/>
      <c r="Z74" s="31"/>
      <c r="AD74" s="7"/>
      <c r="AM74" s="7"/>
      <c r="AN74" s="7"/>
    </row>
    <row r="75" spans="2:40">
      <c r="B75" s="33">
        <f t="shared" si="5"/>
        <v>21</v>
      </c>
      <c r="C75" s="38">
        <f>B75/60</f>
        <v>0.35</v>
      </c>
      <c r="D75" s="37"/>
      <c r="E75" s="37" cm="1">
        <f t="array" ref="E75">IF(ISNUMBER(SEARCH(".5",B75)),(E74+E76)/2,INDEX(Regen!$A$1:$Z$123,MATCH(ROUND(B75,0),Regen!$A:$A,0),Berechnung_Retention!$J$9))</f>
        <v>158.0618278</v>
      </c>
      <c r="F75" s="37">
        <f t="shared" si="1"/>
        <v>0</v>
      </c>
      <c r="G75" s="37">
        <f t="shared" si="2"/>
        <v>0</v>
      </c>
      <c r="H75" s="37">
        <f t="shared" si="3"/>
        <v>0</v>
      </c>
      <c r="I75" s="37">
        <f t="shared" si="4"/>
        <v>0</v>
      </c>
      <c r="P75" s="32"/>
      <c r="U75" s="7"/>
      <c r="X75" s="7"/>
      <c r="Z75" s="31"/>
      <c r="AD75" s="7"/>
      <c r="AM75" s="7"/>
      <c r="AN75" s="7"/>
    </row>
    <row r="76" spans="2:40">
      <c r="B76" s="33">
        <f t="shared" si="5"/>
        <v>21.5</v>
      </c>
      <c r="C76" s="38">
        <f t="shared" si="0"/>
        <v>0.35833333333333334</v>
      </c>
      <c r="D76" s="37"/>
      <c r="E76" s="37" cm="1">
        <f t="array" ref="E76">IF(ISNUMBER(SEARCH(".5",B76)),(E75+E77)/2,INDEX(Regen!$A$1:$Z$123,MATCH(ROUND(B76,0),Regen!$A:$A,0),Berechnung_Retention!$J$9))</f>
        <v>155.5632138</v>
      </c>
      <c r="F76" s="37">
        <f t="shared" si="1"/>
        <v>0</v>
      </c>
      <c r="G76" s="37">
        <f t="shared" si="2"/>
        <v>0</v>
      </c>
      <c r="H76" s="37">
        <f t="shared" si="3"/>
        <v>0</v>
      </c>
      <c r="I76" s="37">
        <f t="shared" si="4"/>
        <v>0</v>
      </c>
      <c r="P76" s="32"/>
      <c r="U76" s="7"/>
      <c r="X76" s="7"/>
      <c r="Z76" s="31"/>
      <c r="AD76" s="7"/>
      <c r="AM76" s="7"/>
      <c r="AN76" s="7"/>
    </row>
    <row r="77" spans="2:40">
      <c r="B77" s="33">
        <f t="shared" si="5"/>
        <v>22</v>
      </c>
      <c r="C77" s="38">
        <f t="shared" si="0"/>
        <v>0.36666666666666664</v>
      </c>
      <c r="D77" s="37"/>
      <c r="E77" s="37" cm="1">
        <f t="array" ref="E77">IF(ISNUMBER(SEARCH(".5",B77)),(E76+E78)/2,INDEX(Regen!$A$1:$Z$123,MATCH(ROUND(B77,0),Regen!$A:$A,0),Berechnung_Retention!$J$9))</f>
        <v>153.0645998</v>
      </c>
      <c r="F77" s="37">
        <f t="shared" si="1"/>
        <v>0</v>
      </c>
      <c r="G77" s="37">
        <f t="shared" si="2"/>
        <v>0</v>
      </c>
      <c r="H77" s="37">
        <f t="shared" si="3"/>
        <v>0</v>
      </c>
      <c r="I77" s="37">
        <f t="shared" si="4"/>
        <v>0</v>
      </c>
      <c r="P77" s="32"/>
      <c r="U77" s="7"/>
      <c r="X77" s="7"/>
      <c r="Z77" s="31"/>
      <c r="AD77" s="7"/>
      <c r="AM77" s="7"/>
      <c r="AN77" s="7"/>
    </row>
    <row r="78" spans="2:40">
      <c r="B78" s="33">
        <f t="shared" si="5"/>
        <v>22.5</v>
      </c>
      <c r="C78" s="38">
        <f t="shared" si="0"/>
        <v>0.375</v>
      </c>
      <c r="D78" s="37"/>
      <c r="E78" s="37" cm="1">
        <f t="array" ref="E78">IF(ISNUMBER(SEARCH(".5",B78)),(E77+E79)/2,INDEX(Regen!$A$1:$Z$123,MATCH(ROUND(B78,0),Regen!$A:$A,0),Berechnung_Retention!$J$9))</f>
        <v>150.75308910000001</v>
      </c>
      <c r="F78" s="37">
        <f t="shared" si="1"/>
        <v>0</v>
      </c>
      <c r="G78" s="37">
        <f t="shared" si="2"/>
        <v>0</v>
      </c>
      <c r="H78" s="37">
        <f t="shared" si="3"/>
        <v>0</v>
      </c>
      <c r="I78" s="37">
        <f t="shared" si="4"/>
        <v>0</v>
      </c>
      <c r="P78" s="32"/>
      <c r="U78" s="7"/>
      <c r="X78" s="7"/>
      <c r="Z78" s="31"/>
      <c r="AD78" s="7"/>
      <c r="AM78" s="7"/>
      <c r="AN78" s="7"/>
    </row>
    <row r="79" spans="2:40">
      <c r="B79" s="33">
        <f t="shared" si="5"/>
        <v>23</v>
      </c>
      <c r="C79" s="38">
        <f t="shared" si="0"/>
        <v>0.38333333333333336</v>
      </c>
      <c r="D79" s="37"/>
      <c r="E79" s="37" cm="1">
        <f t="array" ref="E79">IF(ISNUMBER(SEARCH(".5",B79)),(E78+E80)/2,INDEX(Regen!$A$1:$Z$123,MATCH(ROUND(B79,0),Regen!$A:$A,0),Berechnung_Retention!$J$9))</f>
        <v>148.4415784</v>
      </c>
      <c r="F79" s="37">
        <f t="shared" si="1"/>
        <v>0</v>
      </c>
      <c r="G79" s="37">
        <f t="shared" si="2"/>
        <v>0</v>
      </c>
      <c r="H79" s="37">
        <f t="shared" si="3"/>
        <v>0</v>
      </c>
      <c r="I79" s="37">
        <f t="shared" si="4"/>
        <v>0</v>
      </c>
      <c r="P79" s="32"/>
      <c r="U79" s="7"/>
      <c r="X79" s="7"/>
      <c r="Z79" s="31"/>
      <c r="AD79" s="7"/>
      <c r="AM79" s="7"/>
      <c r="AN79" s="7"/>
    </row>
    <row r="80" spans="2:40">
      <c r="B80" s="33">
        <f t="shared" si="5"/>
        <v>23.5</v>
      </c>
      <c r="C80" s="38">
        <f t="shared" si="0"/>
        <v>0.39166666666666666</v>
      </c>
      <c r="D80" s="37"/>
      <c r="E80" s="37" cm="1">
        <f t="array" ref="E80">IF(ISNUMBER(SEARCH(".5",B80)),(E79+E81)/2,INDEX(Regen!$A$1:$Z$123,MATCH(ROUND(B80,0),Regen!$A:$A,0),Berechnung_Retention!$J$9))</f>
        <v>146.29584439999999</v>
      </c>
      <c r="F80" s="37">
        <f t="shared" si="1"/>
        <v>0</v>
      </c>
      <c r="G80" s="37">
        <f t="shared" si="2"/>
        <v>0</v>
      </c>
      <c r="H80" s="37">
        <f t="shared" si="3"/>
        <v>0</v>
      </c>
      <c r="I80" s="37">
        <f t="shared" si="4"/>
        <v>0</v>
      </c>
      <c r="P80" s="32"/>
      <c r="U80" s="7"/>
      <c r="X80" s="7"/>
      <c r="Z80" s="31"/>
      <c r="AD80" s="7"/>
      <c r="AM80" s="7"/>
      <c r="AN80" s="7"/>
    </row>
    <row r="81" spans="2:40">
      <c r="B81" s="33">
        <f t="shared" si="5"/>
        <v>24</v>
      </c>
      <c r="C81" s="38">
        <f t="shared" si="0"/>
        <v>0.4</v>
      </c>
      <c r="D81" s="37"/>
      <c r="E81" s="37" cm="1">
        <f t="array" ref="E81">IF(ISNUMBER(SEARCH(".5",B81)),(E80+E82)/2,INDEX(Regen!$A$1:$Z$123,MATCH(ROUND(B81,0),Regen!$A:$A,0),Berechnung_Retention!$J$9))</f>
        <v>144.15011039999999</v>
      </c>
      <c r="F81" s="37">
        <f t="shared" si="1"/>
        <v>0</v>
      </c>
      <c r="G81" s="37">
        <f t="shared" si="2"/>
        <v>0</v>
      </c>
      <c r="H81" s="37">
        <f t="shared" si="3"/>
        <v>0</v>
      </c>
      <c r="I81" s="37">
        <f t="shared" si="4"/>
        <v>0</v>
      </c>
      <c r="P81" s="32"/>
      <c r="U81" s="7"/>
      <c r="X81" s="7"/>
      <c r="Z81" s="31"/>
      <c r="AD81" s="7"/>
      <c r="AM81" s="7"/>
      <c r="AN81" s="7"/>
    </row>
    <row r="82" spans="2:40">
      <c r="B82" s="33">
        <f t="shared" si="5"/>
        <v>24.5</v>
      </c>
      <c r="C82" s="38">
        <f t="shared" si="0"/>
        <v>0.40833333333333333</v>
      </c>
      <c r="D82" s="37"/>
      <c r="E82" s="37" cm="1">
        <f t="array" ref="E82">IF(ISNUMBER(SEARCH(".5",B82)),(E81+E83)/2,INDEX(Regen!$A$1:$Z$123,MATCH(ROUND(B82,0),Regen!$A:$A,0),Berechnung_Retention!$J$9))</f>
        <v>142.1520214</v>
      </c>
      <c r="F82" s="37">
        <f t="shared" si="1"/>
        <v>0</v>
      </c>
      <c r="G82" s="37">
        <f t="shared" si="2"/>
        <v>0</v>
      </c>
      <c r="H82" s="37">
        <f t="shared" si="3"/>
        <v>0</v>
      </c>
      <c r="I82" s="37">
        <f t="shared" si="4"/>
        <v>0</v>
      </c>
      <c r="P82" s="32"/>
      <c r="U82" s="7"/>
      <c r="X82" s="7"/>
      <c r="Z82" s="31"/>
      <c r="AD82" s="7"/>
      <c r="AM82" s="7"/>
      <c r="AN82" s="7"/>
    </row>
    <row r="83" spans="2:40">
      <c r="B83" s="33">
        <f t="shared" si="5"/>
        <v>25</v>
      </c>
      <c r="C83" s="38">
        <f t="shared" si="0"/>
        <v>0.41666666666666669</v>
      </c>
      <c r="D83" s="37"/>
      <c r="E83" s="37" cm="1">
        <f t="array" ref="E83">IF(ISNUMBER(SEARCH(".5",B83)),(E82+E84)/2,INDEX(Regen!$A$1:$Z$123,MATCH(ROUND(B83,0),Regen!$A:$A,0),Berechnung_Retention!$J$9))</f>
        <v>140.1539324</v>
      </c>
      <c r="F83" s="37">
        <f t="shared" si="1"/>
        <v>0</v>
      </c>
      <c r="G83" s="37">
        <f t="shared" si="2"/>
        <v>0</v>
      </c>
      <c r="H83" s="37">
        <f t="shared" si="3"/>
        <v>0</v>
      </c>
      <c r="I83" s="37">
        <f t="shared" si="4"/>
        <v>0</v>
      </c>
      <c r="P83" s="32"/>
      <c r="U83" s="7"/>
      <c r="X83" s="7"/>
      <c r="Z83" s="31"/>
      <c r="AD83" s="7"/>
      <c r="AM83" s="7"/>
      <c r="AN83" s="7"/>
    </row>
    <row r="84" spans="2:40">
      <c r="B84" s="33">
        <f t="shared" si="5"/>
        <v>25.5</v>
      </c>
      <c r="C84" s="38">
        <f t="shared" si="0"/>
        <v>0.42499999999999999</v>
      </c>
      <c r="D84" s="37"/>
      <c r="E84" s="37" cm="1">
        <f t="array" ref="E84">IF(ISNUMBER(SEARCH(".5",B84)),(E83+E85)/2,INDEX(Regen!$A$1:$Z$123,MATCH(ROUND(B84,0),Regen!$A:$A,0),Berechnung_Retention!$J$9))</f>
        <v>138.28796750000001</v>
      </c>
      <c r="F84" s="37">
        <f t="shared" si="1"/>
        <v>0</v>
      </c>
      <c r="G84" s="37">
        <f t="shared" si="2"/>
        <v>0</v>
      </c>
      <c r="H84" s="37">
        <f t="shared" si="3"/>
        <v>0</v>
      </c>
      <c r="I84" s="37">
        <f t="shared" si="4"/>
        <v>0</v>
      </c>
      <c r="P84" s="32"/>
      <c r="U84" s="7"/>
      <c r="X84" s="7"/>
      <c r="Z84" s="31"/>
      <c r="AD84" s="7"/>
      <c r="AM84" s="7"/>
      <c r="AN84" s="7"/>
    </row>
    <row r="85" spans="2:40">
      <c r="B85" s="33">
        <f t="shared" si="5"/>
        <v>26</v>
      </c>
      <c r="C85" s="38">
        <f t="shared" si="0"/>
        <v>0.43333333333333335</v>
      </c>
      <c r="D85" s="37"/>
      <c r="E85" s="37" cm="1">
        <f t="array" ref="E85">IF(ISNUMBER(SEARCH(".5",B85)),(E84+E86)/2,INDEX(Regen!$A$1:$Z$123,MATCH(ROUND(B85,0),Regen!$A:$A,0),Berechnung_Retention!$J$9))</f>
        <v>136.42200260000001</v>
      </c>
      <c r="F85" s="37">
        <f t="shared" si="1"/>
        <v>0</v>
      </c>
      <c r="G85" s="37">
        <f t="shared" si="2"/>
        <v>0</v>
      </c>
      <c r="H85" s="37">
        <f t="shared" si="3"/>
        <v>0</v>
      </c>
      <c r="I85" s="37">
        <f t="shared" si="4"/>
        <v>0</v>
      </c>
      <c r="P85" s="32"/>
      <c r="U85" s="7"/>
      <c r="X85" s="7"/>
      <c r="Z85" s="31"/>
      <c r="AD85" s="7"/>
      <c r="AM85" s="7"/>
      <c r="AN85" s="7"/>
    </row>
    <row r="86" spans="2:40">
      <c r="B86" s="33">
        <f t="shared" si="5"/>
        <v>26.5</v>
      </c>
      <c r="C86" s="38">
        <f t="shared" si="0"/>
        <v>0.44166666666666665</v>
      </c>
      <c r="D86" s="37"/>
      <c r="E86" s="37" cm="1">
        <f t="array" ref="E86">IF(ISNUMBER(SEARCH(".5",B86)),(E85+E87)/2,INDEX(Regen!$A$1:$Z$123,MATCH(ROUND(B86,0),Regen!$A:$A,0),Berechnung_Retention!$J$9))</f>
        <v>134.67479245000001</v>
      </c>
      <c r="F86" s="37">
        <f t="shared" si="1"/>
        <v>0</v>
      </c>
      <c r="G86" s="37">
        <f t="shared" si="2"/>
        <v>0</v>
      </c>
      <c r="H86" s="37">
        <f t="shared" si="3"/>
        <v>0</v>
      </c>
      <c r="I86" s="37">
        <f t="shared" si="4"/>
        <v>0</v>
      </c>
      <c r="P86" s="32"/>
      <c r="U86" s="7"/>
      <c r="X86" s="7"/>
      <c r="Z86" s="31"/>
      <c r="AD86" s="7"/>
      <c r="AM86" s="7"/>
      <c r="AN86" s="7"/>
    </row>
    <row r="87" spans="2:40">
      <c r="B87" s="33">
        <f t="shared" si="5"/>
        <v>27</v>
      </c>
      <c r="C87" s="38">
        <f t="shared" si="0"/>
        <v>0.45</v>
      </c>
      <c r="D87" s="37"/>
      <c r="E87" s="37" cm="1">
        <f t="array" ref="E87">IF(ISNUMBER(SEARCH(".5",B87)),(E86+E88)/2,INDEX(Regen!$A$1:$Z$123,MATCH(ROUND(B87,0),Regen!$A:$A,0),Berechnung_Retention!$J$9))</f>
        <v>132.92758230000001</v>
      </c>
      <c r="F87" s="37">
        <f t="shared" si="1"/>
        <v>0</v>
      </c>
      <c r="G87" s="37">
        <f t="shared" si="2"/>
        <v>0</v>
      </c>
      <c r="H87" s="37">
        <f t="shared" si="3"/>
        <v>0</v>
      </c>
      <c r="I87" s="37">
        <f t="shared" si="4"/>
        <v>0</v>
      </c>
      <c r="P87" s="32"/>
      <c r="U87" s="7"/>
      <c r="X87" s="7"/>
      <c r="Z87" s="31"/>
      <c r="AD87" s="7"/>
      <c r="AM87" s="7"/>
      <c r="AN87" s="7"/>
    </row>
    <row r="88" spans="2:40">
      <c r="B88" s="33">
        <f t="shared" si="5"/>
        <v>27.5</v>
      </c>
      <c r="C88" s="38">
        <f t="shared" si="0"/>
        <v>0.45833333333333331</v>
      </c>
      <c r="D88" s="37"/>
      <c r="E88" s="37" cm="1">
        <f t="array" ref="E88">IF(ISNUMBER(SEARCH(".5",B88)),(E87+E89)/2,INDEX(Regen!$A$1:$Z$123,MATCH(ROUND(B88,0),Regen!$A:$A,0),Berechnung_Retention!$J$9))</f>
        <v>131.28754385000002</v>
      </c>
      <c r="F88" s="37">
        <f t="shared" si="1"/>
        <v>0</v>
      </c>
      <c r="G88" s="37">
        <f t="shared" si="2"/>
        <v>0</v>
      </c>
      <c r="H88" s="37">
        <f t="shared" si="3"/>
        <v>0</v>
      </c>
      <c r="I88" s="37">
        <f t="shared" si="4"/>
        <v>0</v>
      </c>
      <c r="P88" s="32"/>
      <c r="U88" s="7"/>
      <c r="X88" s="7"/>
      <c r="Z88" s="31"/>
      <c r="AD88" s="7"/>
      <c r="AM88" s="7"/>
      <c r="AN88" s="7"/>
    </row>
    <row r="89" spans="2:40">
      <c r="B89" s="33">
        <f t="shared" si="5"/>
        <v>28</v>
      </c>
      <c r="C89" s="38">
        <f t="shared" si="0"/>
        <v>0.46666666666666667</v>
      </c>
      <c r="D89" s="37"/>
      <c r="E89" s="37" cm="1">
        <f t="array" ref="E89">IF(ISNUMBER(SEARCH(".5",B89)),(E88+E90)/2,INDEX(Regen!$A$1:$Z$123,MATCH(ROUND(B89,0),Regen!$A:$A,0),Berechnung_Retention!$J$9))</f>
        <v>129.6475054</v>
      </c>
      <c r="F89" s="37">
        <f t="shared" si="1"/>
        <v>0</v>
      </c>
      <c r="G89" s="37">
        <f t="shared" si="2"/>
        <v>0</v>
      </c>
      <c r="H89" s="37">
        <f t="shared" si="3"/>
        <v>0</v>
      </c>
      <c r="I89" s="37">
        <f t="shared" si="4"/>
        <v>0</v>
      </c>
      <c r="P89" s="32"/>
      <c r="U89" s="7"/>
      <c r="X89" s="7"/>
      <c r="Z89" s="31"/>
      <c r="AD89" s="7"/>
      <c r="AM89" s="7"/>
      <c r="AN89" s="7"/>
    </row>
    <row r="90" spans="2:40">
      <c r="B90" s="33">
        <f t="shared" si="5"/>
        <v>28.5</v>
      </c>
      <c r="C90" s="38">
        <f t="shared" si="0"/>
        <v>0.47499999999999998</v>
      </c>
      <c r="D90" s="37"/>
      <c r="E90" s="37" cm="1">
        <f t="array" ref="E90">IF(ISNUMBER(SEARCH(".5",B90)),(E89+E91)/2,INDEX(Regen!$A$1:$Z$123,MATCH(ROUND(B90,0),Regen!$A:$A,0),Berechnung_Retention!$J$9))</f>
        <v>128.10454955</v>
      </c>
      <c r="F90" s="37">
        <f t="shared" si="1"/>
        <v>0</v>
      </c>
      <c r="G90" s="37">
        <f t="shared" si="2"/>
        <v>0</v>
      </c>
      <c r="H90" s="37">
        <f t="shared" si="3"/>
        <v>0</v>
      </c>
      <c r="I90" s="37">
        <f t="shared" si="4"/>
        <v>0</v>
      </c>
      <c r="P90" s="32"/>
      <c r="U90" s="7"/>
      <c r="X90" s="7"/>
      <c r="Z90" s="31"/>
      <c r="AD90" s="7"/>
      <c r="AM90" s="7"/>
      <c r="AN90" s="7"/>
    </row>
    <row r="91" spans="2:40">
      <c r="B91" s="33">
        <f t="shared" si="5"/>
        <v>29</v>
      </c>
      <c r="C91" s="38">
        <f t="shared" si="0"/>
        <v>0.48333333333333334</v>
      </c>
      <c r="D91" s="37"/>
      <c r="E91" s="37" cm="1">
        <f t="array" ref="E91">IF(ISNUMBER(SEARCH(".5",B91)),(E90+E92)/2,INDEX(Regen!$A$1:$Z$123,MATCH(ROUND(B91,0),Regen!$A:$A,0),Berechnung_Retention!$J$9))</f>
        <v>126.5615937</v>
      </c>
      <c r="F91" s="37">
        <f t="shared" si="1"/>
        <v>0</v>
      </c>
      <c r="G91" s="37">
        <f t="shared" si="2"/>
        <v>0</v>
      </c>
      <c r="H91" s="37">
        <f t="shared" si="3"/>
        <v>0</v>
      </c>
      <c r="I91" s="37">
        <f t="shared" si="4"/>
        <v>0</v>
      </c>
      <c r="P91" s="32"/>
      <c r="U91" s="7"/>
      <c r="X91" s="7"/>
      <c r="Z91" s="31"/>
      <c r="AD91" s="7"/>
      <c r="AM91" s="7"/>
      <c r="AN91" s="7"/>
    </row>
    <row r="92" spans="2:40">
      <c r="B92" s="33">
        <f t="shared" si="5"/>
        <v>29.5</v>
      </c>
      <c r="C92" s="38">
        <f t="shared" si="0"/>
        <v>0.49166666666666664</v>
      </c>
      <c r="D92" s="37"/>
      <c r="E92" s="37" cm="1">
        <f t="array" ref="E92">IF(ISNUMBER(SEARCH(".5",B92)),(E91+E93)/2,INDEX(Regen!$A$1:$Z$123,MATCH(ROUND(B92,0),Regen!$A:$A,0),Berechnung_Retention!$J$9))</f>
        <v>125.10688880000001</v>
      </c>
      <c r="F92" s="37">
        <f t="shared" si="1"/>
        <v>0</v>
      </c>
      <c r="G92" s="37">
        <f t="shared" si="2"/>
        <v>0</v>
      </c>
      <c r="H92" s="37">
        <f t="shared" si="3"/>
        <v>0</v>
      </c>
      <c r="I92" s="37">
        <f t="shared" si="4"/>
        <v>0</v>
      </c>
      <c r="P92" s="32"/>
      <c r="U92" s="7"/>
      <c r="X92" s="7"/>
      <c r="Z92" s="31"/>
      <c r="AD92" s="7"/>
      <c r="AM92" s="7"/>
      <c r="AN92" s="7"/>
    </row>
    <row r="93" spans="2:40">
      <c r="B93" s="33">
        <f t="shared" si="5"/>
        <v>30</v>
      </c>
      <c r="C93" s="38">
        <f t="shared" si="0"/>
        <v>0.5</v>
      </c>
      <c r="D93" s="37"/>
      <c r="E93" s="37" cm="1">
        <f t="array" ref="E93">IF(ISNUMBER(SEARCH(".5",B93)),(E92+E94)/2,INDEX(Regen!$A$1:$Z$123,MATCH(ROUND(B93,0),Regen!$A:$A,0),Berechnung_Retention!$J$9))</f>
        <v>123.6521839</v>
      </c>
      <c r="F93" s="37">
        <f t="shared" si="1"/>
        <v>0</v>
      </c>
      <c r="G93" s="37">
        <f t="shared" si="2"/>
        <v>0</v>
      </c>
      <c r="H93" s="37">
        <f t="shared" si="3"/>
        <v>0</v>
      </c>
      <c r="I93" s="37">
        <f t="shared" si="4"/>
        <v>0</v>
      </c>
      <c r="P93" s="32"/>
      <c r="U93" s="7"/>
      <c r="X93" s="7"/>
      <c r="Z93" s="31"/>
      <c r="AD93" s="7"/>
      <c r="AM93" s="7"/>
      <c r="AN93" s="7"/>
    </row>
    <row r="94" spans="2:40">
      <c r="B94" s="33">
        <f t="shared" si="5"/>
        <v>30.5</v>
      </c>
      <c r="C94" s="38">
        <f t="shared" si="0"/>
        <v>0.5083333333333333</v>
      </c>
      <c r="D94" s="37"/>
      <c r="E94" s="37" cm="1">
        <f t="array" ref="E94">IF(ISNUMBER(SEARCH(".5",B94)),(E93+E95)/2,INDEX(Regen!$A$1:$Z$123,MATCH(ROUND(B94,0),Regen!$A:$A,0),Berechnung_Retention!$J$9))</f>
        <v>122.2779632</v>
      </c>
      <c r="F94" s="37">
        <f t="shared" si="1"/>
        <v>0</v>
      </c>
      <c r="G94" s="37">
        <f t="shared" si="2"/>
        <v>0</v>
      </c>
      <c r="H94" s="37">
        <f t="shared" si="3"/>
        <v>0</v>
      </c>
      <c r="I94" s="37">
        <f t="shared" si="4"/>
        <v>0</v>
      </c>
      <c r="P94" s="32"/>
      <c r="U94" s="7"/>
      <c r="X94" s="7"/>
      <c r="Z94" s="31"/>
      <c r="AD94" s="7"/>
      <c r="AM94" s="7"/>
      <c r="AN94" s="7"/>
    </row>
    <row r="95" spans="2:40">
      <c r="B95" s="33">
        <f t="shared" si="5"/>
        <v>31</v>
      </c>
      <c r="C95" s="38">
        <f t="shared" si="0"/>
        <v>0.51666666666666672</v>
      </c>
      <c r="D95" s="37"/>
      <c r="E95" s="37" cm="1">
        <f t="array" ref="E95">IF(ISNUMBER(SEARCH(".5",B95)),(E94+E96)/2,INDEX(Regen!$A$1:$Z$123,MATCH(ROUND(B95,0),Regen!$A:$A,0),Berechnung_Retention!$J$9))</f>
        <v>120.90374250000001</v>
      </c>
      <c r="F95" s="37">
        <f t="shared" si="1"/>
        <v>0</v>
      </c>
      <c r="G95" s="37">
        <f t="shared" si="2"/>
        <v>0</v>
      </c>
      <c r="H95" s="37">
        <f t="shared" si="3"/>
        <v>0</v>
      </c>
      <c r="I95" s="37">
        <f t="shared" si="4"/>
        <v>0</v>
      </c>
      <c r="P95" s="32"/>
      <c r="U95" s="7"/>
      <c r="X95" s="7"/>
      <c r="Z95" s="31"/>
      <c r="AD95" s="7"/>
      <c r="AM95" s="7"/>
      <c r="AN95" s="7"/>
    </row>
    <row r="96" spans="2:40">
      <c r="B96" s="33">
        <f t="shared" si="5"/>
        <v>31.5</v>
      </c>
      <c r="C96" s="38">
        <f t="shared" si="0"/>
        <v>0.52500000000000002</v>
      </c>
      <c r="D96" s="37"/>
      <c r="E96" s="37" cm="1">
        <f t="array" ref="E96">IF(ISNUMBER(SEARCH(".5",B96)),(E95+E97)/2,INDEX(Regen!$A$1:$Z$123,MATCH(ROUND(B96,0),Regen!$A:$A,0),Berechnung_Retention!$J$9))</f>
        <v>119.60314630000001</v>
      </c>
      <c r="F96" s="37">
        <f t="shared" si="1"/>
        <v>0</v>
      </c>
      <c r="G96" s="37">
        <f t="shared" si="2"/>
        <v>0</v>
      </c>
      <c r="H96" s="37">
        <f t="shared" si="3"/>
        <v>0</v>
      </c>
      <c r="I96" s="37">
        <f t="shared" si="4"/>
        <v>0</v>
      </c>
      <c r="P96" s="32"/>
      <c r="U96" s="7"/>
      <c r="X96" s="7"/>
      <c r="Z96" s="31"/>
      <c r="AD96" s="7"/>
      <c r="AM96" s="7"/>
      <c r="AN96" s="7"/>
    </row>
    <row r="97" spans="2:40">
      <c r="B97" s="33">
        <f t="shared" si="5"/>
        <v>32</v>
      </c>
      <c r="C97" s="38">
        <f t="shared" ref="C97:C160" si="6">B97/60</f>
        <v>0.53333333333333333</v>
      </c>
      <c r="D97" s="37"/>
      <c r="E97" s="37" cm="1">
        <f t="array" ref="E97">IF(ISNUMBER(SEARCH(".5",B97)),(E96+E98)/2,INDEX(Regen!$A$1:$Z$123,MATCH(ROUND(B97,0),Regen!$A:$A,0),Berechnung_Retention!$J$9))</f>
        <v>118.3025501</v>
      </c>
      <c r="F97" s="37">
        <f t="shared" ref="F97:F160" si="7">E97*$B$12</f>
        <v>0</v>
      </c>
      <c r="G97" s="37">
        <f t="shared" ref="G97:G160" si="8">F97*60*B97/1000</f>
        <v>0</v>
      </c>
      <c r="H97" s="37">
        <f t="shared" ref="H97:H160" si="9">B97*60/1000*$B$14</f>
        <v>0</v>
      </c>
      <c r="I97" s="37">
        <f t="shared" ref="I97:I160" si="10">G97-H97</f>
        <v>0</v>
      </c>
      <c r="P97" s="32"/>
      <c r="U97" s="7"/>
      <c r="X97" s="7"/>
      <c r="Z97" s="31"/>
      <c r="AD97" s="7"/>
      <c r="AM97" s="7"/>
      <c r="AN97" s="7"/>
    </row>
    <row r="98" spans="2:40">
      <c r="B98" s="33">
        <f t="shared" ref="B98:B161" si="11">+B97+0.5</f>
        <v>32.5</v>
      </c>
      <c r="C98" s="38">
        <f t="shared" si="6"/>
        <v>0.54166666666666663</v>
      </c>
      <c r="D98" s="37"/>
      <c r="E98" s="37" cm="1">
        <f t="array" ref="E98">IF(ISNUMBER(SEARCH(".5",B98)),(E97+E99)/2,INDEX(Regen!$A$1:$Z$123,MATCH(ROUND(B98,0),Regen!$A:$A,0),Berechnung_Retention!$J$9))</f>
        <v>117.06949535000001</v>
      </c>
      <c r="F98" s="37">
        <f t="shared" si="7"/>
        <v>0</v>
      </c>
      <c r="G98" s="37">
        <f t="shared" si="8"/>
        <v>0</v>
      </c>
      <c r="H98" s="37">
        <f t="shared" si="9"/>
        <v>0</v>
      </c>
      <c r="I98" s="37">
        <f t="shared" si="10"/>
        <v>0</v>
      </c>
      <c r="P98" s="32"/>
      <c r="U98" s="7"/>
      <c r="X98" s="7"/>
      <c r="Z98" s="31"/>
      <c r="AD98" s="7"/>
      <c r="AM98" s="7"/>
      <c r="AN98" s="7"/>
    </row>
    <row r="99" spans="2:40">
      <c r="B99" s="33">
        <f t="shared" si="11"/>
        <v>33</v>
      </c>
      <c r="C99" s="38">
        <f t="shared" si="6"/>
        <v>0.55000000000000004</v>
      </c>
      <c r="D99" s="37"/>
      <c r="E99" s="37" cm="1">
        <f t="array" ref="E99">IF(ISNUMBER(SEARCH(".5",B99)),(E98+E100)/2,INDEX(Regen!$A$1:$Z$123,MATCH(ROUND(B99,0),Regen!$A:$A,0),Berechnung_Retention!$J$9))</f>
        <v>115.8364406</v>
      </c>
      <c r="F99" s="37">
        <f t="shared" si="7"/>
        <v>0</v>
      </c>
      <c r="G99" s="37">
        <f t="shared" si="8"/>
        <v>0</v>
      </c>
      <c r="H99" s="37">
        <f t="shared" si="9"/>
        <v>0</v>
      </c>
      <c r="I99" s="37">
        <f t="shared" si="10"/>
        <v>0</v>
      </c>
      <c r="P99" s="32"/>
      <c r="U99" s="7"/>
      <c r="X99" s="7"/>
      <c r="Z99" s="31"/>
      <c r="AD99" s="7"/>
      <c r="AM99" s="7"/>
      <c r="AN99" s="7"/>
    </row>
    <row r="100" spans="2:40">
      <c r="B100" s="33">
        <f t="shared" si="11"/>
        <v>33.5</v>
      </c>
      <c r="C100" s="38">
        <f t="shared" si="6"/>
        <v>0.55833333333333335</v>
      </c>
      <c r="D100" s="37"/>
      <c r="E100" s="37" cm="1">
        <f t="array" ref="E100">IF(ISNUMBER(SEARCH(".5",B100)),(E99+E101)/2,INDEX(Regen!$A$1:$Z$123,MATCH(ROUND(B100,0),Regen!$A:$A,0),Berechnung_Retention!$J$9))</f>
        <v>114.66551255</v>
      </c>
      <c r="F100" s="37">
        <f t="shared" si="7"/>
        <v>0</v>
      </c>
      <c r="G100" s="37">
        <f t="shared" si="8"/>
        <v>0</v>
      </c>
      <c r="H100" s="37">
        <f t="shared" si="9"/>
        <v>0</v>
      </c>
      <c r="I100" s="37">
        <f t="shared" si="10"/>
        <v>0</v>
      </c>
      <c r="P100" s="32"/>
      <c r="U100" s="7"/>
      <c r="X100" s="7"/>
      <c r="Z100" s="31"/>
      <c r="AD100" s="7"/>
      <c r="AM100" s="7"/>
      <c r="AN100" s="7"/>
    </row>
    <row r="101" spans="2:40">
      <c r="B101" s="33">
        <f t="shared" si="11"/>
        <v>34</v>
      </c>
      <c r="C101" s="38">
        <f t="shared" si="6"/>
        <v>0.56666666666666665</v>
      </c>
      <c r="D101" s="37"/>
      <c r="E101" s="37" cm="1">
        <f t="array" ref="E101">IF(ISNUMBER(SEARCH(".5",B101)),(E100+E102)/2,INDEX(Regen!$A$1:$Z$123,MATCH(ROUND(B101,0),Regen!$A:$A,0),Berechnung_Retention!$J$9))</f>
        <v>113.4945845</v>
      </c>
      <c r="F101" s="37">
        <f t="shared" si="7"/>
        <v>0</v>
      </c>
      <c r="G101" s="37">
        <f t="shared" si="8"/>
        <v>0</v>
      </c>
      <c r="H101" s="37">
        <f t="shared" si="9"/>
        <v>0</v>
      </c>
      <c r="I101" s="37">
        <f t="shared" si="10"/>
        <v>0</v>
      </c>
      <c r="P101" s="32"/>
      <c r="U101" s="7"/>
      <c r="X101" s="7"/>
      <c r="Z101" s="31"/>
      <c r="AD101" s="7"/>
      <c r="AM101" s="7"/>
      <c r="AN101" s="7"/>
    </row>
    <row r="102" spans="2:40">
      <c r="B102" s="33">
        <f t="shared" si="11"/>
        <v>34.5</v>
      </c>
      <c r="C102" s="38">
        <f t="shared" si="6"/>
        <v>0.57499999999999996</v>
      </c>
      <c r="D102" s="37"/>
      <c r="E102" s="37" cm="1">
        <f t="array" ref="E102">IF(ISNUMBER(SEARCH(".5",B102)),(E101+E103)/2,INDEX(Regen!$A$1:$Z$123,MATCH(ROUND(B102,0),Regen!$A:$A,0),Berechnung_Retention!$J$9))</f>
        <v>112.38094599999999</v>
      </c>
      <c r="F102" s="37">
        <f t="shared" si="7"/>
        <v>0</v>
      </c>
      <c r="G102" s="37">
        <f t="shared" si="8"/>
        <v>0</v>
      </c>
      <c r="H102" s="37">
        <f t="shared" si="9"/>
        <v>0</v>
      </c>
      <c r="I102" s="37">
        <f t="shared" si="10"/>
        <v>0</v>
      </c>
      <c r="P102" s="32"/>
      <c r="U102" s="7"/>
      <c r="X102" s="7"/>
      <c r="Z102" s="31"/>
      <c r="AD102" s="7"/>
      <c r="AM102" s="7"/>
      <c r="AN102" s="7"/>
    </row>
    <row r="103" spans="2:40">
      <c r="B103" s="33">
        <f t="shared" si="11"/>
        <v>35</v>
      </c>
      <c r="C103" s="38">
        <f t="shared" si="6"/>
        <v>0.58333333333333337</v>
      </c>
      <c r="D103" s="37"/>
      <c r="E103" s="37" cm="1">
        <f t="array" ref="E103">IF(ISNUMBER(SEARCH(".5",B103)),(E102+E104)/2,INDEX(Regen!$A$1:$Z$123,MATCH(ROUND(B103,0),Regen!$A:$A,0),Berechnung_Retention!$J$9))</f>
        <v>111.2673075</v>
      </c>
      <c r="F103" s="37">
        <f t="shared" si="7"/>
        <v>0</v>
      </c>
      <c r="G103" s="37">
        <f t="shared" si="8"/>
        <v>0</v>
      </c>
      <c r="H103" s="37">
        <f t="shared" si="9"/>
        <v>0</v>
      </c>
      <c r="I103" s="37">
        <f t="shared" si="10"/>
        <v>0</v>
      </c>
      <c r="P103" s="32"/>
      <c r="U103" s="7"/>
      <c r="X103" s="7"/>
      <c r="Z103" s="31"/>
      <c r="AD103" s="7"/>
      <c r="AM103" s="7"/>
      <c r="AN103" s="7"/>
    </row>
    <row r="104" spans="2:40">
      <c r="B104" s="33">
        <f t="shared" si="11"/>
        <v>35.5</v>
      </c>
      <c r="C104" s="38">
        <f t="shared" si="6"/>
        <v>0.59166666666666667</v>
      </c>
      <c r="D104" s="37"/>
      <c r="E104" s="37" cm="1">
        <f t="array" ref="E104">IF(ISNUMBER(SEARCH(".5",B104)),(E103+E105)/2,INDEX(Regen!$A$1:$Z$123,MATCH(ROUND(B104,0),Regen!$A:$A,0),Berechnung_Retention!$J$9))</f>
        <v>110.20662315</v>
      </c>
      <c r="F104" s="37">
        <f t="shared" si="7"/>
        <v>0</v>
      </c>
      <c r="G104" s="37">
        <f t="shared" si="8"/>
        <v>0</v>
      </c>
      <c r="H104" s="37">
        <f t="shared" si="9"/>
        <v>0</v>
      </c>
      <c r="I104" s="37">
        <f t="shared" si="10"/>
        <v>0</v>
      </c>
      <c r="P104" s="32"/>
      <c r="U104" s="7"/>
      <c r="X104" s="7"/>
      <c r="Z104" s="31"/>
      <c r="AD104" s="7"/>
      <c r="AM104" s="7"/>
      <c r="AN104" s="7"/>
    </row>
    <row r="105" spans="2:40">
      <c r="B105" s="33">
        <f t="shared" si="11"/>
        <v>36</v>
      </c>
      <c r="C105" s="38">
        <f t="shared" si="6"/>
        <v>0.6</v>
      </c>
      <c r="D105" s="37"/>
      <c r="E105" s="37" cm="1">
        <f t="array" ref="E105">IF(ISNUMBER(SEARCH(".5",B105)),(E104+E106)/2,INDEX(Regen!$A$1:$Z$123,MATCH(ROUND(B105,0),Regen!$A:$A,0),Berechnung_Retention!$J$9))</f>
        <v>109.1459388</v>
      </c>
      <c r="F105" s="37">
        <f t="shared" si="7"/>
        <v>0</v>
      </c>
      <c r="G105" s="37">
        <f t="shared" si="8"/>
        <v>0</v>
      </c>
      <c r="H105" s="37">
        <f t="shared" si="9"/>
        <v>0</v>
      </c>
      <c r="I105" s="37">
        <f t="shared" si="10"/>
        <v>0</v>
      </c>
      <c r="P105" s="32"/>
      <c r="U105" s="7"/>
      <c r="X105" s="7"/>
      <c r="Z105" s="31"/>
      <c r="AD105" s="7"/>
      <c r="AM105" s="7"/>
      <c r="AN105" s="7"/>
    </row>
    <row r="106" spans="2:40">
      <c r="B106" s="33">
        <f t="shared" si="11"/>
        <v>36.5</v>
      </c>
      <c r="C106" s="38">
        <f t="shared" si="6"/>
        <v>0.60833333333333328</v>
      </c>
      <c r="D106" s="37"/>
      <c r="E106" s="37" cm="1">
        <f t="array" ref="E106">IF(ISNUMBER(SEARCH(".5",B106)),(E105+E107)/2,INDEX(Regen!$A$1:$Z$123,MATCH(ROUND(B106,0),Regen!$A:$A,0),Berechnung_Retention!$J$9))</f>
        <v>108.13431065</v>
      </c>
      <c r="F106" s="37">
        <f t="shared" si="7"/>
        <v>0</v>
      </c>
      <c r="G106" s="37">
        <f t="shared" si="8"/>
        <v>0</v>
      </c>
      <c r="H106" s="37">
        <f t="shared" si="9"/>
        <v>0</v>
      </c>
      <c r="I106" s="37">
        <f t="shared" si="10"/>
        <v>0</v>
      </c>
      <c r="P106" s="32"/>
      <c r="U106" s="7"/>
      <c r="X106" s="7"/>
      <c r="Z106" s="31"/>
      <c r="AD106" s="7"/>
      <c r="AM106" s="7"/>
      <c r="AN106" s="7"/>
    </row>
    <row r="107" spans="2:40">
      <c r="B107" s="33">
        <f t="shared" si="11"/>
        <v>37</v>
      </c>
      <c r="C107" s="38">
        <f t="shared" si="6"/>
        <v>0.6166666666666667</v>
      </c>
      <c r="D107" s="37"/>
      <c r="E107" s="37" cm="1">
        <f t="array" ref="E107">IF(ISNUMBER(SEARCH(".5",B107)),(E106+E108)/2,INDEX(Regen!$A$1:$Z$123,MATCH(ROUND(B107,0),Regen!$A:$A,0),Berechnung_Retention!$J$9))</f>
        <v>107.1226825</v>
      </c>
      <c r="F107" s="37">
        <f t="shared" si="7"/>
        <v>0</v>
      </c>
      <c r="G107" s="37">
        <f t="shared" si="8"/>
        <v>0</v>
      </c>
      <c r="H107" s="37">
        <f t="shared" si="9"/>
        <v>0</v>
      </c>
      <c r="I107" s="37">
        <f t="shared" si="10"/>
        <v>0</v>
      </c>
      <c r="P107" s="32"/>
      <c r="U107" s="7"/>
      <c r="X107" s="7"/>
      <c r="Z107" s="31"/>
      <c r="AD107" s="7"/>
      <c r="AM107" s="7"/>
      <c r="AN107" s="7"/>
    </row>
    <row r="108" spans="2:40">
      <c r="B108" s="33">
        <f t="shared" si="11"/>
        <v>37.5</v>
      </c>
      <c r="C108" s="38">
        <f t="shared" si="6"/>
        <v>0.625</v>
      </c>
      <c r="D108" s="37"/>
      <c r="E108" s="37" cm="1">
        <f t="array" ref="E108">IF(ISNUMBER(SEARCH(".5",B108)),(E107+E109)/2,INDEX(Regen!$A$1:$Z$123,MATCH(ROUND(B108,0),Regen!$A:$A,0),Berechnung_Retention!$J$9))</f>
        <v>106.15659529999999</v>
      </c>
      <c r="F108" s="37">
        <f t="shared" si="7"/>
        <v>0</v>
      </c>
      <c r="G108" s="37">
        <f t="shared" si="8"/>
        <v>0</v>
      </c>
      <c r="H108" s="37">
        <f t="shared" si="9"/>
        <v>0</v>
      </c>
      <c r="I108" s="37">
        <f t="shared" si="10"/>
        <v>0</v>
      </c>
      <c r="P108" s="32"/>
      <c r="U108" s="7"/>
      <c r="X108" s="7"/>
      <c r="Z108" s="31"/>
      <c r="AD108" s="7"/>
      <c r="AM108" s="7"/>
      <c r="AN108" s="7"/>
    </row>
    <row r="109" spans="2:40">
      <c r="B109" s="33">
        <f t="shared" si="11"/>
        <v>38</v>
      </c>
      <c r="C109" s="38">
        <f t="shared" si="6"/>
        <v>0.6333333333333333</v>
      </c>
      <c r="D109" s="37"/>
      <c r="E109" s="37" cm="1">
        <f t="array" ref="E109">IF(ISNUMBER(SEARCH(".5",B109)),(E108+E110)/2,INDEX(Regen!$A$1:$Z$123,MATCH(ROUND(B109,0),Regen!$A:$A,0),Berechnung_Retention!$J$9))</f>
        <v>105.1905081</v>
      </c>
      <c r="F109" s="37">
        <f t="shared" si="7"/>
        <v>0</v>
      </c>
      <c r="G109" s="37">
        <f t="shared" si="8"/>
        <v>0</v>
      </c>
      <c r="H109" s="37">
        <f t="shared" si="9"/>
        <v>0</v>
      </c>
      <c r="I109" s="37">
        <f t="shared" si="10"/>
        <v>0</v>
      </c>
      <c r="P109" s="32"/>
      <c r="U109" s="7"/>
      <c r="X109" s="7"/>
      <c r="Z109" s="31"/>
      <c r="AD109" s="7"/>
      <c r="AM109" s="7"/>
      <c r="AN109" s="7"/>
    </row>
    <row r="110" spans="2:40">
      <c r="B110" s="33">
        <f t="shared" si="11"/>
        <v>38.5</v>
      </c>
      <c r="C110" s="38">
        <f t="shared" si="6"/>
        <v>0.64166666666666672</v>
      </c>
      <c r="D110" s="37"/>
      <c r="E110" s="37" cm="1">
        <f t="array" ref="E110">IF(ISNUMBER(SEARCH(".5",B110)),(E109+E111)/2,INDEX(Regen!$A$1:$Z$123,MATCH(ROUND(B110,0),Regen!$A:$A,0),Berechnung_Retention!$J$9))</f>
        <v>104.26678290000001</v>
      </c>
      <c r="F110" s="37">
        <f t="shared" si="7"/>
        <v>0</v>
      </c>
      <c r="G110" s="37">
        <f t="shared" si="8"/>
        <v>0</v>
      </c>
      <c r="H110" s="37">
        <f t="shared" si="9"/>
        <v>0</v>
      </c>
      <c r="I110" s="37">
        <f t="shared" si="10"/>
        <v>0</v>
      </c>
      <c r="P110" s="32"/>
      <c r="U110" s="7"/>
      <c r="X110" s="7"/>
      <c r="Z110" s="31"/>
      <c r="AD110" s="7"/>
      <c r="AM110" s="7"/>
      <c r="AN110" s="7"/>
    </row>
    <row r="111" spans="2:40">
      <c r="B111" s="33">
        <f t="shared" si="11"/>
        <v>39</v>
      </c>
      <c r="C111" s="38">
        <f t="shared" si="6"/>
        <v>0.65</v>
      </c>
      <c r="D111" s="37"/>
      <c r="E111" s="37" cm="1">
        <f t="array" ref="E111">IF(ISNUMBER(SEARCH(".5",B111)),(E110+E112)/2,INDEX(Regen!$A$1:$Z$123,MATCH(ROUND(B111,0),Regen!$A:$A,0),Berechnung_Retention!$J$9))</f>
        <v>103.3430577</v>
      </c>
      <c r="F111" s="37">
        <f t="shared" si="7"/>
        <v>0</v>
      </c>
      <c r="G111" s="37">
        <f t="shared" si="8"/>
        <v>0</v>
      </c>
      <c r="H111" s="37">
        <f t="shared" si="9"/>
        <v>0</v>
      </c>
      <c r="I111" s="37">
        <f t="shared" si="10"/>
        <v>0</v>
      </c>
      <c r="P111" s="32"/>
      <c r="U111" s="7"/>
      <c r="X111" s="7"/>
      <c r="Z111" s="31"/>
      <c r="AD111" s="7"/>
      <c r="AM111" s="7"/>
      <c r="AN111" s="7"/>
    </row>
    <row r="112" spans="2:40">
      <c r="B112" s="33">
        <f t="shared" si="11"/>
        <v>39.5</v>
      </c>
      <c r="C112" s="38">
        <f t="shared" si="6"/>
        <v>0.65833333333333333</v>
      </c>
      <c r="D112" s="37"/>
      <c r="E112" s="37" cm="1">
        <f t="array" ref="E112">IF(ISNUMBER(SEARCH(".5",B112)),(E111+E113)/2,INDEX(Regen!$A$1:$Z$123,MATCH(ROUND(B112,0),Regen!$A:$A,0),Berechnung_Retention!$J$9))</f>
        <v>102.45881215</v>
      </c>
      <c r="F112" s="37">
        <f t="shared" si="7"/>
        <v>0</v>
      </c>
      <c r="G112" s="37">
        <f t="shared" si="8"/>
        <v>0</v>
      </c>
      <c r="H112" s="37">
        <f t="shared" si="9"/>
        <v>0</v>
      </c>
      <c r="I112" s="37">
        <f t="shared" si="10"/>
        <v>0</v>
      </c>
      <c r="P112" s="32"/>
      <c r="U112" s="7"/>
      <c r="X112" s="7"/>
      <c r="Z112" s="31"/>
      <c r="AD112" s="7"/>
      <c r="AM112" s="7"/>
      <c r="AN112" s="7"/>
    </row>
    <row r="113" spans="2:40">
      <c r="B113" s="33">
        <f t="shared" si="11"/>
        <v>40</v>
      </c>
      <c r="C113" s="38">
        <f t="shared" si="6"/>
        <v>0.66666666666666663</v>
      </c>
      <c r="D113" s="37"/>
      <c r="E113" s="37" cm="1">
        <f t="array" ref="E113">IF(ISNUMBER(SEARCH(".5",B113)),(E112+E114)/2,INDEX(Regen!$A$1:$Z$123,MATCH(ROUND(B113,0),Regen!$A:$A,0),Berechnung_Retention!$J$9))</f>
        <v>101.5745666</v>
      </c>
      <c r="F113" s="37">
        <f t="shared" si="7"/>
        <v>0</v>
      </c>
      <c r="G113" s="37">
        <f t="shared" si="8"/>
        <v>0</v>
      </c>
      <c r="H113" s="37">
        <f t="shared" si="9"/>
        <v>0</v>
      </c>
      <c r="I113" s="37">
        <f t="shared" si="10"/>
        <v>0</v>
      </c>
      <c r="P113" s="32"/>
      <c r="U113" s="7"/>
      <c r="X113" s="7"/>
      <c r="Z113" s="31"/>
      <c r="AD113" s="7"/>
      <c r="AM113" s="7"/>
      <c r="AN113" s="7"/>
    </row>
    <row r="114" spans="2:40">
      <c r="B114" s="33">
        <f t="shared" si="11"/>
        <v>40.5</v>
      </c>
      <c r="C114" s="38">
        <f t="shared" si="6"/>
        <v>0.67500000000000004</v>
      </c>
      <c r="D114" s="37"/>
      <c r="E114" s="37" cm="1">
        <f t="array" ref="E114">IF(ISNUMBER(SEARCH(".5",B114)),(E113+E115)/2,INDEX(Regen!$A$1:$Z$123,MATCH(ROUND(B114,0),Regen!$A:$A,0),Berechnung_Retention!$J$9))</f>
        <v>100.72718043</v>
      </c>
      <c r="F114" s="37">
        <f t="shared" si="7"/>
        <v>0</v>
      </c>
      <c r="G114" s="37">
        <f t="shared" si="8"/>
        <v>0</v>
      </c>
      <c r="H114" s="37">
        <f t="shared" si="9"/>
        <v>0</v>
      </c>
      <c r="I114" s="37">
        <f t="shared" si="10"/>
        <v>0</v>
      </c>
      <c r="P114" s="32"/>
      <c r="U114" s="7"/>
      <c r="X114" s="7"/>
      <c r="Z114" s="31"/>
      <c r="AD114" s="7"/>
      <c r="AM114" s="7"/>
      <c r="AN114" s="7"/>
    </row>
    <row r="115" spans="2:40">
      <c r="B115" s="33">
        <f t="shared" si="11"/>
        <v>41</v>
      </c>
      <c r="C115" s="38">
        <f t="shared" si="6"/>
        <v>0.68333333333333335</v>
      </c>
      <c r="D115" s="37"/>
      <c r="E115" s="37" cm="1">
        <f t="array" ref="E115">IF(ISNUMBER(SEARCH(".5",B115)),(E114+E116)/2,INDEX(Regen!$A$1:$Z$123,MATCH(ROUND(B115,0),Regen!$A:$A,0),Berechnung_Retention!$J$9))</f>
        <v>99.879794259999997</v>
      </c>
      <c r="F115" s="37">
        <f t="shared" si="7"/>
        <v>0</v>
      </c>
      <c r="G115" s="37">
        <f t="shared" si="8"/>
        <v>0</v>
      </c>
      <c r="H115" s="37">
        <f t="shared" si="9"/>
        <v>0</v>
      </c>
      <c r="I115" s="37">
        <f t="shared" si="10"/>
        <v>0</v>
      </c>
      <c r="P115" s="32"/>
      <c r="U115" s="7"/>
      <c r="X115" s="7"/>
      <c r="Z115" s="31"/>
      <c r="AD115" s="7"/>
      <c r="AM115" s="7"/>
      <c r="AN115" s="7"/>
    </row>
    <row r="116" spans="2:40">
      <c r="B116" s="33">
        <f t="shared" si="11"/>
        <v>41.5</v>
      </c>
      <c r="C116" s="38">
        <f t="shared" si="6"/>
        <v>0.69166666666666665</v>
      </c>
      <c r="D116" s="37"/>
      <c r="E116" s="37" cm="1">
        <f t="array" ref="E116">IF(ISNUMBER(SEARCH(".5",B116)),(E115+E117)/2,INDEX(Regen!$A$1:$Z$123,MATCH(ROUND(B116,0),Regen!$A:$A,0),Berechnung_Retention!$J$9))</f>
        <v>99.066879970000002</v>
      </c>
      <c r="F116" s="37">
        <f t="shared" si="7"/>
        <v>0</v>
      </c>
      <c r="G116" s="37">
        <f t="shared" si="8"/>
        <v>0</v>
      </c>
      <c r="H116" s="37">
        <f t="shared" si="9"/>
        <v>0</v>
      </c>
      <c r="I116" s="37">
        <f t="shared" si="10"/>
        <v>0</v>
      </c>
      <c r="P116" s="32"/>
      <c r="U116" s="7"/>
      <c r="X116" s="7"/>
      <c r="Z116" s="31"/>
      <c r="AD116" s="7"/>
      <c r="AM116" s="7"/>
      <c r="AN116" s="7"/>
    </row>
    <row r="117" spans="2:40">
      <c r="B117" s="33">
        <f t="shared" si="11"/>
        <v>42</v>
      </c>
      <c r="C117" s="38">
        <f t="shared" si="6"/>
        <v>0.7</v>
      </c>
      <c r="D117" s="37"/>
      <c r="E117" s="37" cm="1">
        <f t="array" ref="E117">IF(ISNUMBER(SEARCH(".5",B117)),(E116+E118)/2,INDEX(Regen!$A$1:$Z$123,MATCH(ROUND(B117,0),Regen!$A:$A,0),Berechnung_Retention!$J$9))</f>
        <v>98.253965679999993</v>
      </c>
      <c r="F117" s="37">
        <f t="shared" si="7"/>
        <v>0</v>
      </c>
      <c r="G117" s="37">
        <f t="shared" si="8"/>
        <v>0</v>
      </c>
      <c r="H117" s="37">
        <f t="shared" si="9"/>
        <v>0</v>
      </c>
      <c r="I117" s="37">
        <f t="shared" si="10"/>
        <v>0</v>
      </c>
      <c r="P117" s="32"/>
      <c r="U117" s="7"/>
      <c r="X117" s="7"/>
      <c r="Z117" s="31"/>
      <c r="AD117" s="7"/>
      <c r="AM117" s="7"/>
      <c r="AN117" s="7"/>
    </row>
    <row r="118" spans="2:40">
      <c r="B118" s="33">
        <f t="shared" si="11"/>
        <v>42.5</v>
      </c>
      <c r="C118" s="38">
        <f t="shared" si="6"/>
        <v>0.70833333333333337</v>
      </c>
      <c r="D118" s="37"/>
      <c r="E118" s="37" cm="1">
        <f t="array" ref="E118">IF(ISNUMBER(SEARCH(".5",B118)),(E117+E119)/2,INDEX(Regen!$A$1:$Z$123,MATCH(ROUND(B118,0),Regen!$A:$A,0),Berechnung_Retention!$J$9))</f>
        <v>97.473342720000005</v>
      </c>
      <c r="F118" s="37">
        <f t="shared" si="7"/>
        <v>0</v>
      </c>
      <c r="G118" s="37">
        <f t="shared" si="8"/>
        <v>0</v>
      </c>
      <c r="H118" s="37">
        <f t="shared" si="9"/>
        <v>0</v>
      </c>
      <c r="I118" s="37">
        <f t="shared" si="10"/>
        <v>0</v>
      </c>
      <c r="P118" s="32"/>
      <c r="U118" s="7"/>
      <c r="X118" s="7"/>
      <c r="Z118" s="31"/>
      <c r="AD118" s="7"/>
      <c r="AM118" s="7"/>
      <c r="AN118" s="7"/>
    </row>
    <row r="119" spans="2:40">
      <c r="B119" s="33">
        <f t="shared" si="11"/>
        <v>43</v>
      </c>
      <c r="C119" s="38">
        <f t="shared" si="6"/>
        <v>0.71666666666666667</v>
      </c>
      <c r="D119" s="37"/>
      <c r="E119" s="37" cm="1">
        <f t="array" ref="E119">IF(ISNUMBER(SEARCH(".5",B119)),(E118+E120)/2,INDEX(Regen!$A$1:$Z$123,MATCH(ROUND(B119,0),Regen!$A:$A,0),Berechnung_Retention!$J$9))</f>
        <v>96.692719760000003</v>
      </c>
      <c r="F119" s="37">
        <f t="shared" si="7"/>
        <v>0</v>
      </c>
      <c r="G119" s="37">
        <f t="shared" si="8"/>
        <v>0</v>
      </c>
      <c r="H119" s="37">
        <f t="shared" si="9"/>
        <v>0</v>
      </c>
      <c r="I119" s="37">
        <f t="shared" si="10"/>
        <v>0</v>
      </c>
      <c r="P119" s="32"/>
      <c r="U119" s="7"/>
      <c r="X119" s="7"/>
      <c r="Z119" s="31"/>
      <c r="AD119" s="7"/>
      <c r="AM119" s="7"/>
      <c r="AN119" s="7"/>
    </row>
    <row r="120" spans="2:40">
      <c r="B120" s="33">
        <f t="shared" si="11"/>
        <v>43.5</v>
      </c>
      <c r="C120" s="38">
        <f t="shared" si="6"/>
        <v>0.72499999999999998</v>
      </c>
      <c r="D120" s="37"/>
      <c r="E120" s="37" cm="1">
        <f t="array" ref="E120">IF(ISNUMBER(SEARCH(".5",B120)),(E119+E121)/2,INDEX(Regen!$A$1:$Z$123,MATCH(ROUND(B120,0),Regen!$A:$A,0),Berechnung_Retention!$J$9))</f>
        <v>95.942392359999999</v>
      </c>
      <c r="F120" s="37">
        <f t="shared" si="7"/>
        <v>0</v>
      </c>
      <c r="G120" s="37">
        <f t="shared" si="8"/>
        <v>0</v>
      </c>
      <c r="H120" s="37">
        <f t="shared" si="9"/>
        <v>0</v>
      </c>
      <c r="I120" s="37">
        <f t="shared" si="10"/>
        <v>0</v>
      </c>
      <c r="P120" s="32"/>
      <c r="U120" s="7"/>
      <c r="X120" s="7"/>
      <c r="Z120" s="31"/>
      <c r="AD120" s="7"/>
      <c r="AM120" s="7"/>
      <c r="AN120" s="7"/>
    </row>
    <row r="121" spans="2:40">
      <c r="B121" s="33">
        <f t="shared" si="11"/>
        <v>44</v>
      </c>
      <c r="C121" s="38">
        <f t="shared" si="6"/>
        <v>0.73333333333333328</v>
      </c>
      <c r="D121" s="37"/>
      <c r="E121" s="37" cm="1">
        <f t="array" ref="E121">IF(ISNUMBER(SEARCH(".5",B121)),(E120+E122)/2,INDEX(Regen!$A$1:$Z$123,MATCH(ROUND(B121,0),Regen!$A:$A,0),Berechnung_Retention!$J$9))</f>
        <v>95.192064959999996</v>
      </c>
      <c r="F121" s="37">
        <f t="shared" si="7"/>
        <v>0</v>
      </c>
      <c r="G121" s="37">
        <f t="shared" si="8"/>
        <v>0</v>
      </c>
      <c r="H121" s="37">
        <f t="shared" si="9"/>
        <v>0</v>
      </c>
      <c r="I121" s="37">
        <f t="shared" si="10"/>
        <v>0</v>
      </c>
      <c r="P121" s="32"/>
      <c r="U121" s="7"/>
      <c r="X121" s="7"/>
      <c r="Z121" s="31"/>
      <c r="AD121" s="7"/>
      <c r="AM121" s="7"/>
      <c r="AN121" s="7"/>
    </row>
    <row r="122" spans="2:40">
      <c r="B122" s="33">
        <f t="shared" si="11"/>
        <v>44.5</v>
      </c>
      <c r="C122" s="38">
        <f t="shared" si="6"/>
        <v>0.7416666666666667</v>
      </c>
      <c r="D122" s="37"/>
      <c r="E122" s="37" cm="1">
        <f t="array" ref="E122">IF(ISNUMBER(SEARCH(".5",B122)),(E121+E123)/2,INDEX(Regen!$A$1:$Z$123,MATCH(ROUND(B122,0),Regen!$A:$A,0),Berechnung_Retention!$J$9))</f>
        <v>94.470202650000004</v>
      </c>
      <c r="F122" s="37">
        <f t="shared" si="7"/>
        <v>0</v>
      </c>
      <c r="G122" s="37">
        <f t="shared" si="8"/>
        <v>0</v>
      </c>
      <c r="H122" s="37">
        <f t="shared" si="9"/>
        <v>0</v>
      </c>
      <c r="I122" s="37">
        <f t="shared" si="10"/>
        <v>0</v>
      </c>
      <c r="P122" s="32"/>
      <c r="U122" s="7"/>
      <c r="X122" s="7"/>
      <c r="Z122" s="31"/>
      <c r="AD122" s="7"/>
      <c r="AM122" s="7"/>
      <c r="AN122" s="7"/>
    </row>
    <row r="123" spans="2:40">
      <c r="B123" s="33">
        <f t="shared" si="11"/>
        <v>45</v>
      </c>
      <c r="C123" s="38">
        <f t="shared" si="6"/>
        <v>0.75</v>
      </c>
      <c r="D123" s="37"/>
      <c r="E123" s="37" cm="1">
        <f t="array" ref="E123">IF(ISNUMBER(SEARCH(".5",B123)),(E122+E124)/2,INDEX(Regen!$A$1:$Z$123,MATCH(ROUND(B123,0),Regen!$A:$A,0),Berechnung_Retention!$J$9))</f>
        <v>93.748340339999999</v>
      </c>
      <c r="F123" s="37">
        <f t="shared" si="7"/>
        <v>0</v>
      </c>
      <c r="G123" s="37">
        <f t="shared" si="8"/>
        <v>0</v>
      </c>
      <c r="H123" s="37">
        <f t="shared" si="9"/>
        <v>0</v>
      </c>
      <c r="I123" s="37">
        <f t="shared" si="10"/>
        <v>0</v>
      </c>
      <c r="P123" s="32"/>
      <c r="U123" s="7"/>
      <c r="X123" s="7"/>
      <c r="Z123" s="31"/>
      <c r="AD123" s="7"/>
      <c r="AM123" s="7"/>
      <c r="AN123" s="7"/>
    </row>
    <row r="124" spans="2:40">
      <c r="B124" s="33">
        <f t="shared" si="11"/>
        <v>45.5</v>
      </c>
      <c r="C124" s="38">
        <f t="shared" si="6"/>
        <v>0.7583333333333333</v>
      </c>
      <c r="D124" s="37"/>
      <c r="E124" s="37" cm="1">
        <f t="array" ref="E124">IF(ISNUMBER(SEARCH(".5",B124)),(E123+E125)/2,INDEX(Regen!$A$1:$Z$123,MATCH(ROUND(B124,0),Regen!$A:$A,0),Berechnung_Retention!$J$9))</f>
        <v>93.053260950000009</v>
      </c>
      <c r="F124" s="37">
        <f t="shared" si="7"/>
        <v>0</v>
      </c>
      <c r="G124" s="37">
        <f t="shared" si="8"/>
        <v>0</v>
      </c>
      <c r="H124" s="37">
        <f t="shared" si="9"/>
        <v>0</v>
      </c>
      <c r="I124" s="37">
        <f t="shared" si="10"/>
        <v>0</v>
      </c>
      <c r="P124" s="32"/>
      <c r="U124" s="7"/>
      <c r="X124" s="7"/>
      <c r="Z124" s="31"/>
      <c r="AD124" s="7"/>
      <c r="AM124" s="7"/>
      <c r="AN124" s="7"/>
    </row>
    <row r="125" spans="2:40">
      <c r="B125" s="33">
        <f t="shared" si="11"/>
        <v>46</v>
      </c>
      <c r="C125" s="38">
        <f t="shared" si="6"/>
        <v>0.76666666666666672</v>
      </c>
      <c r="D125" s="37"/>
      <c r="E125" s="37" cm="1">
        <f t="array" ref="E125">IF(ISNUMBER(SEARCH(".5",B125)),(E124+E126)/2,INDEX(Regen!$A$1:$Z$123,MATCH(ROUND(B125,0),Regen!$A:$A,0),Berechnung_Retention!$J$9))</f>
        <v>92.358181560000006</v>
      </c>
      <c r="F125" s="37">
        <f t="shared" si="7"/>
        <v>0</v>
      </c>
      <c r="G125" s="37">
        <f t="shared" si="8"/>
        <v>0</v>
      </c>
      <c r="H125" s="37">
        <f t="shared" si="9"/>
        <v>0</v>
      </c>
      <c r="I125" s="37">
        <f t="shared" si="10"/>
        <v>0</v>
      </c>
      <c r="P125" s="32"/>
      <c r="U125" s="7"/>
      <c r="X125" s="7"/>
      <c r="Z125" s="31"/>
      <c r="AD125" s="7"/>
      <c r="AM125" s="7"/>
      <c r="AN125" s="7"/>
    </row>
    <row r="126" spans="2:40">
      <c r="B126" s="33">
        <f t="shared" si="11"/>
        <v>46.5</v>
      </c>
      <c r="C126" s="38">
        <f t="shared" si="6"/>
        <v>0.77500000000000002</v>
      </c>
      <c r="D126" s="37"/>
      <c r="E126" s="37" cm="1">
        <f t="array" ref="E126">IF(ISNUMBER(SEARCH(".5",B126)),(E125+E127)/2,INDEX(Regen!$A$1:$Z$123,MATCH(ROUND(B126,0),Regen!$A:$A,0),Berechnung_Retention!$J$9))</f>
        <v>91.688336294999999</v>
      </c>
      <c r="F126" s="37">
        <f t="shared" si="7"/>
        <v>0</v>
      </c>
      <c r="G126" s="37">
        <f t="shared" si="8"/>
        <v>0</v>
      </c>
      <c r="H126" s="37">
        <f t="shared" si="9"/>
        <v>0</v>
      </c>
      <c r="I126" s="37">
        <f t="shared" si="10"/>
        <v>0</v>
      </c>
      <c r="P126" s="32"/>
      <c r="U126" s="7"/>
      <c r="X126" s="7"/>
      <c r="Z126" s="31"/>
      <c r="AD126" s="7"/>
      <c r="AM126" s="7"/>
      <c r="AN126" s="7"/>
    </row>
    <row r="127" spans="2:40">
      <c r="B127" s="33">
        <f t="shared" si="11"/>
        <v>47</v>
      </c>
      <c r="C127" s="38">
        <f t="shared" si="6"/>
        <v>0.78333333333333333</v>
      </c>
      <c r="D127" s="37"/>
      <c r="E127" s="37" cm="1">
        <f t="array" ref="E127">IF(ISNUMBER(SEARCH(".5",B127)),(E126+E128)/2,INDEX(Regen!$A$1:$Z$123,MATCH(ROUND(B127,0),Regen!$A:$A,0),Berechnung_Retention!$J$9))</f>
        <v>91.018491030000007</v>
      </c>
      <c r="F127" s="37">
        <f t="shared" si="7"/>
        <v>0</v>
      </c>
      <c r="G127" s="37">
        <f t="shared" si="8"/>
        <v>0</v>
      </c>
      <c r="H127" s="37">
        <f t="shared" si="9"/>
        <v>0</v>
      </c>
      <c r="I127" s="37">
        <f t="shared" si="10"/>
        <v>0</v>
      </c>
      <c r="P127" s="32"/>
      <c r="U127" s="7"/>
      <c r="X127" s="7"/>
      <c r="Z127" s="31"/>
      <c r="AD127" s="7"/>
      <c r="AM127" s="7"/>
      <c r="AN127" s="7"/>
    </row>
    <row r="128" spans="2:40">
      <c r="B128" s="33">
        <f t="shared" si="11"/>
        <v>47.5</v>
      </c>
      <c r="C128" s="38">
        <f t="shared" si="6"/>
        <v>0.79166666666666663</v>
      </c>
      <c r="D128" s="37"/>
      <c r="E128" s="37" cm="1">
        <f t="array" ref="E128">IF(ISNUMBER(SEARCH(".5",B128)),(E127+E129)/2,INDEX(Regen!$A$1:$Z$123,MATCH(ROUND(B128,0),Regen!$A:$A,0),Berechnung_Retention!$J$9))</f>
        <v>90.372451304999998</v>
      </c>
      <c r="F128" s="37">
        <f t="shared" si="7"/>
        <v>0</v>
      </c>
      <c r="G128" s="37">
        <f t="shared" si="8"/>
        <v>0</v>
      </c>
      <c r="H128" s="37">
        <f t="shared" si="9"/>
        <v>0</v>
      </c>
      <c r="I128" s="37">
        <f t="shared" si="10"/>
        <v>0</v>
      </c>
      <c r="P128" s="32"/>
      <c r="U128" s="7"/>
      <c r="X128" s="7"/>
      <c r="Z128" s="31"/>
      <c r="AD128" s="7"/>
      <c r="AM128" s="7"/>
      <c r="AN128" s="7"/>
    </row>
    <row r="129" spans="2:40">
      <c r="B129" s="33">
        <f t="shared" si="11"/>
        <v>48</v>
      </c>
      <c r="C129" s="38">
        <f t="shared" si="6"/>
        <v>0.8</v>
      </c>
      <c r="D129" s="37"/>
      <c r="E129" s="37" cm="1">
        <f t="array" ref="E129">IF(ISNUMBER(SEARCH(".5",B129)),(E128+E130)/2,INDEX(Regen!$A$1:$Z$123,MATCH(ROUND(B129,0),Regen!$A:$A,0),Berechnung_Retention!$J$9))</f>
        <v>89.726411580000004</v>
      </c>
      <c r="F129" s="37">
        <f t="shared" si="7"/>
        <v>0</v>
      </c>
      <c r="G129" s="37">
        <f t="shared" si="8"/>
        <v>0</v>
      </c>
      <c r="H129" s="37">
        <f t="shared" si="9"/>
        <v>0</v>
      </c>
      <c r="I129" s="37">
        <f t="shared" si="10"/>
        <v>0</v>
      </c>
      <c r="P129" s="32"/>
      <c r="U129" s="7"/>
      <c r="X129" s="7"/>
      <c r="Z129" s="31"/>
      <c r="AD129" s="7"/>
      <c r="AM129" s="7"/>
      <c r="AN129" s="7"/>
    </row>
    <row r="130" spans="2:40">
      <c r="B130" s="33">
        <f t="shared" si="11"/>
        <v>48.5</v>
      </c>
      <c r="C130" s="38">
        <f t="shared" si="6"/>
        <v>0.80833333333333335</v>
      </c>
      <c r="D130" s="37"/>
      <c r="E130" s="37" cm="1">
        <f t="array" ref="E130">IF(ISNUMBER(SEARCH(".5",B130)),(E129+E131)/2,INDEX(Regen!$A$1:$Z$123,MATCH(ROUND(B130,0),Regen!$A:$A,0),Berechnung_Retention!$J$9))</f>
        <v>89.102857409999999</v>
      </c>
      <c r="F130" s="37">
        <f t="shared" si="7"/>
        <v>0</v>
      </c>
      <c r="G130" s="37">
        <f t="shared" si="8"/>
        <v>0</v>
      </c>
      <c r="H130" s="37">
        <f t="shared" si="9"/>
        <v>0</v>
      </c>
      <c r="I130" s="37">
        <f t="shared" si="10"/>
        <v>0</v>
      </c>
      <c r="P130" s="32"/>
      <c r="U130" s="7"/>
      <c r="X130" s="7"/>
      <c r="Z130" s="31"/>
      <c r="AD130" s="7"/>
      <c r="AM130" s="7"/>
      <c r="AN130" s="7"/>
    </row>
    <row r="131" spans="2:40">
      <c r="B131" s="33">
        <f t="shared" si="11"/>
        <v>49</v>
      </c>
      <c r="C131" s="38">
        <f t="shared" si="6"/>
        <v>0.81666666666666665</v>
      </c>
      <c r="D131" s="37"/>
      <c r="E131" s="37" cm="1">
        <f t="array" ref="E131">IF(ISNUMBER(SEARCH(".5",B131)),(E130+E132)/2,INDEX(Regen!$A$1:$Z$123,MATCH(ROUND(B131,0),Regen!$A:$A,0),Berechnung_Retention!$J$9))</f>
        <v>88.479303239999993</v>
      </c>
      <c r="F131" s="37">
        <f t="shared" si="7"/>
        <v>0</v>
      </c>
      <c r="G131" s="37">
        <f t="shared" si="8"/>
        <v>0</v>
      </c>
      <c r="H131" s="37">
        <f t="shared" si="9"/>
        <v>0</v>
      </c>
      <c r="I131" s="37">
        <f t="shared" si="10"/>
        <v>0</v>
      </c>
      <c r="P131" s="32"/>
      <c r="U131" s="7"/>
      <c r="X131" s="7"/>
      <c r="Z131" s="31"/>
      <c r="AD131" s="7"/>
      <c r="AM131" s="7"/>
      <c r="AN131" s="7"/>
    </row>
    <row r="132" spans="2:40">
      <c r="B132" s="33">
        <f t="shared" si="11"/>
        <v>49.5</v>
      </c>
      <c r="C132" s="38">
        <f t="shared" si="6"/>
        <v>0.82499999999999996</v>
      </c>
      <c r="D132" s="37"/>
      <c r="E132" s="37" cm="1">
        <f t="array" ref="E132">IF(ISNUMBER(SEARCH(".5",B132)),(E131+E133)/2,INDEX(Regen!$A$1:$Z$123,MATCH(ROUND(B132,0),Regen!$A:$A,0),Berechnung_Retention!$J$9))</f>
        <v>87.877012984999993</v>
      </c>
      <c r="F132" s="37">
        <f t="shared" si="7"/>
        <v>0</v>
      </c>
      <c r="G132" s="37">
        <f t="shared" si="8"/>
        <v>0</v>
      </c>
      <c r="H132" s="37">
        <f t="shared" si="9"/>
        <v>0</v>
      </c>
      <c r="I132" s="37">
        <f t="shared" si="10"/>
        <v>0</v>
      </c>
      <c r="P132" s="32"/>
      <c r="U132" s="7"/>
      <c r="X132" s="7"/>
      <c r="Z132" s="31"/>
      <c r="AD132" s="7"/>
      <c r="AM132" s="7"/>
      <c r="AN132" s="7"/>
    </row>
    <row r="133" spans="2:40">
      <c r="B133" s="33">
        <f t="shared" si="11"/>
        <v>50</v>
      </c>
      <c r="C133" s="38">
        <f t="shared" si="6"/>
        <v>0.83333333333333337</v>
      </c>
      <c r="D133" s="37"/>
      <c r="E133" s="37" cm="1">
        <f t="array" ref="E133">IF(ISNUMBER(SEARCH(".5",B133)),(E132+E134)/2,INDEX(Regen!$A$1:$Z$123,MATCH(ROUND(B133,0),Regen!$A:$A,0),Berechnung_Retention!$J$9))</f>
        <v>87.274722729999993</v>
      </c>
      <c r="F133" s="37">
        <f t="shared" si="7"/>
        <v>0</v>
      </c>
      <c r="G133" s="37">
        <f t="shared" si="8"/>
        <v>0</v>
      </c>
      <c r="H133" s="37">
        <f t="shared" si="9"/>
        <v>0</v>
      </c>
      <c r="I133" s="37">
        <f t="shared" si="10"/>
        <v>0</v>
      </c>
      <c r="P133" s="32"/>
      <c r="U133" s="7"/>
      <c r="X133" s="7"/>
      <c r="Z133" s="31"/>
      <c r="AD133" s="7"/>
      <c r="AM133" s="7"/>
      <c r="AN133" s="7"/>
    </row>
    <row r="134" spans="2:40">
      <c r="B134" s="33">
        <f t="shared" si="11"/>
        <v>50.5</v>
      </c>
      <c r="C134" s="38">
        <f t="shared" si="6"/>
        <v>0.84166666666666667</v>
      </c>
      <c r="D134" s="37"/>
      <c r="E134" s="37" cm="1">
        <f t="array" ref="E134">IF(ISNUMBER(SEARCH(".5",B134)),(E133+E135)/2,INDEX(Regen!$A$1:$Z$123,MATCH(ROUND(B134,0),Regen!$A:$A,0),Berechnung_Retention!$J$9))</f>
        <v>86.692563949999993</v>
      </c>
      <c r="F134" s="37">
        <f t="shared" si="7"/>
        <v>0</v>
      </c>
      <c r="G134" s="37">
        <f t="shared" si="8"/>
        <v>0</v>
      </c>
      <c r="H134" s="37">
        <f t="shared" si="9"/>
        <v>0</v>
      </c>
      <c r="I134" s="37">
        <f t="shared" si="10"/>
        <v>0</v>
      </c>
      <c r="P134" s="32"/>
      <c r="U134" s="7"/>
      <c r="X134" s="7"/>
      <c r="Z134" s="31"/>
      <c r="AD134" s="7"/>
      <c r="AM134" s="7"/>
      <c r="AN134" s="7"/>
    </row>
    <row r="135" spans="2:40">
      <c r="B135" s="33">
        <f t="shared" si="11"/>
        <v>51</v>
      </c>
      <c r="C135" s="38">
        <f t="shared" si="6"/>
        <v>0.85</v>
      </c>
      <c r="D135" s="37"/>
      <c r="E135" s="37" cm="1">
        <f t="array" ref="E135">IF(ISNUMBER(SEARCH(".5",B135)),(E134+E136)/2,INDEX(Regen!$A$1:$Z$123,MATCH(ROUND(B135,0),Regen!$A:$A,0),Berechnung_Retention!$J$9))</f>
        <v>86.110405170000007</v>
      </c>
      <c r="F135" s="37">
        <f t="shared" si="7"/>
        <v>0</v>
      </c>
      <c r="G135" s="37">
        <f t="shared" si="8"/>
        <v>0</v>
      </c>
      <c r="H135" s="37">
        <f t="shared" si="9"/>
        <v>0</v>
      </c>
      <c r="I135" s="37">
        <f t="shared" si="10"/>
        <v>0</v>
      </c>
      <c r="P135" s="32"/>
      <c r="U135" s="7"/>
      <c r="X135" s="7"/>
      <c r="Z135" s="31"/>
      <c r="AD135" s="7"/>
      <c r="AM135" s="7"/>
      <c r="AN135" s="7"/>
    </row>
    <row r="136" spans="2:40">
      <c r="B136" s="33">
        <f t="shared" si="11"/>
        <v>51.5</v>
      </c>
      <c r="C136" s="38">
        <f t="shared" si="6"/>
        <v>0.85833333333333328</v>
      </c>
      <c r="D136" s="37"/>
      <c r="E136" s="37" cm="1">
        <f t="array" ref="E136">IF(ISNUMBER(SEARCH(".5",B136)),(E135+E137)/2,INDEX(Regen!$A$1:$Z$123,MATCH(ROUND(B136,0),Regen!$A:$A,0),Berechnung_Retention!$J$9))</f>
        <v>85.547326515000009</v>
      </c>
      <c r="F136" s="37">
        <f t="shared" si="7"/>
        <v>0</v>
      </c>
      <c r="G136" s="37">
        <f t="shared" si="8"/>
        <v>0</v>
      </c>
      <c r="H136" s="37">
        <f t="shared" si="9"/>
        <v>0</v>
      </c>
      <c r="I136" s="37">
        <f t="shared" si="10"/>
        <v>0</v>
      </c>
      <c r="P136" s="32"/>
      <c r="U136" s="7"/>
      <c r="X136" s="7"/>
      <c r="Z136" s="31"/>
      <c r="AD136" s="7"/>
      <c r="AM136" s="7"/>
      <c r="AN136" s="7"/>
    </row>
    <row r="137" spans="2:40">
      <c r="B137" s="33">
        <f t="shared" si="11"/>
        <v>52</v>
      </c>
      <c r="C137" s="38">
        <f t="shared" si="6"/>
        <v>0.8666666666666667</v>
      </c>
      <c r="D137" s="37"/>
      <c r="E137" s="37" cm="1">
        <f t="array" ref="E137">IF(ISNUMBER(SEARCH(".5",B137)),(E136+E138)/2,INDEX(Regen!$A$1:$Z$123,MATCH(ROUND(B137,0),Regen!$A:$A,0),Berechnung_Retention!$J$9))</f>
        <v>84.984247859999996</v>
      </c>
      <c r="F137" s="37">
        <f t="shared" si="7"/>
        <v>0</v>
      </c>
      <c r="G137" s="37">
        <f t="shared" si="8"/>
        <v>0</v>
      </c>
      <c r="H137" s="37">
        <f t="shared" si="9"/>
        <v>0</v>
      </c>
      <c r="I137" s="37">
        <f t="shared" si="10"/>
        <v>0</v>
      </c>
      <c r="P137" s="32"/>
      <c r="U137" s="7"/>
      <c r="X137" s="7"/>
      <c r="Z137" s="31"/>
      <c r="AD137" s="7"/>
      <c r="AM137" s="7"/>
      <c r="AN137" s="7"/>
    </row>
    <row r="138" spans="2:40">
      <c r="B138" s="33">
        <f t="shared" si="11"/>
        <v>52.5</v>
      </c>
      <c r="C138" s="38">
        <f t="shared" si="6"/>
        <v>0.875</v>
      </c>
      <c r="D138" s="37"/>
      <c r="E138" s="37" cm="1">
        <f t="array" ref="E138">IF(ISNUMBER(SEARCH(".5",B138)),(E137+E139)/2,INDEX(Regen!$A$1:$Z$123,MATCH(ROUND(B138,0),Regen!$A:$A,0),Berechnung_Retention!$J$9))</f>
        <v>84.439271849999997</v>
      </c>
      <c r="F138" s="37">
        <f t="shared" si="7"/>
        <v>0</v>
      </c>
      <c r="G138" s="37">
        <f t="shared" si="8"/>
        <v>0</v>
      </c>
      <c r="H138" s="37">
        <f t="shared" si="9"/>
        <v>0</v>
      </c>
      <c r="I138" s="37">
        <f t="shared" si="10"/>
        <v>0</v>
      </c>
      <c r="P138" s="32"/>
      <c r="U138" s="7"/>
      <c r="X138" s="7"/>
      <c r="Z138" s="31"/>
      <c r="AD138" s="7"/>
      <c r="AM138" s="7"/>
      <c r="AN138" s="7"/>
    </row>
    <row r="139" spans="2:40">
      <c r="B139" s="33">
        <f t="shared" si="11"/>
        <v>53</v>
      </c>
      <c r="C139" s="38">
        <f t="shared" si="6"/>
        <v>0.8833333333333333</v>
      </c>
      <c r="D139" s="37"/>
      <c r="E139" s="37" cm="1">
        <f t="array" ref="E139">IF(ISNUMBER(SEARCH(".5",B139)),(E138+E140)/2,INDEX(Regen!$A$1:$Z$123,MATCH(ROUND(B139,0),Regen!$A:$A,0),Berechnung_Retention!$J$9))</f>
        <v>83.894295839999998</v>
      </c>
      <c r="F139" s="37">
        <f t="shared" si="7"/>
        <v>0</v>
      </c>
      <c r="G139" s="37">
        <f t="shared" si="8"/>
        <v>0</v>
      </c>
      <c r="H139" s="37">
        <f t="shared" si="9"/>
        <v>0</v>
      </c>
      <c r="I139" s="37">
        <f t="shared" si="10"/>
        <v>0</v>
      </c>
      <c r="P139" s="32"/>
      <c r="U139" s="7"/>
      <c r="X139" s="7"/>
      <c r="Z139" s="31"/>
      <c r="AD139" s="7"/>
      <c r="AM139" s="7"/>
      <c r="AN139" s="7"/>
    </row>
    <row r="140" spans="2:40">
      <c r="B140" s="33">
        <f t="shared" si="11"/>
        <v>53.5</v>
      </c>
      <c r="C140" s="38">
        <f t="shared" si="6"/>
        <v>0.89166666666666672</v>
      </c>
      <c r="D140" s="37"/>
      <c r="E140" s="37" cm="1">
        <f t="array" ref="E140">IF(ISNUMBER(SEARCH(".5",B140)),(E139+E141)/2,INDEX(Regen!$A$1:$Z$123,MATCH(ROUND(B140,0),Regen!$A:$A,0),Berechnung_Retention!$J$9))</f>
        <v>83.366512365000006</v>
      </c>
      <c r="F140" s="37">
        <f t="shared" si="7"/>
        <v>0</v>
      </c>
      <c r="G140" s="37">
        <f t="shared" si="8"/>
        <v>0</v>
      </c>
      <c r="H140" s="37">
        <f t="shared" si="9"/>
        <v>0</v>
      </c>
      <c r="I140" s="37">
        <f t="shared" si="10"/>
        <v>0</v>
      </c>
      <c r="P140" s="32"/>
      <c r="U140" s="7"/>
      <c r="X140" s="7"/>
      <c r="Z140" s="31"/>
      <c r="AD140" s="7"/>
      <c r="AM140" s="7"/>
      <c r="AN140" s="7"/>
    </row>
    <row r="141" spans="2:40">
      <c r="B141" s="33">
        <f t="shared" si="11"/>
        <v>54</v>
      </c>
      <c r="C141" s="38">
        <f t="shared" si="6"/>
        <v>0.9</v>
      </c>
      <c r="D141" s="37"/>
      <c r="E141" s="37" cm="1">
        <f t="array" ref="E141">IF(ISNUMBER(SEARCH(".5",B141)),(E140+E142)/2,INDEX(Regen!$A$1:$Z$123,MATCH(ROUND(B141,0),Regen!$A:$A,0),Berechnung_Retention!$J$9))</f>
        <v>82.838728889999999</v>
      </c>
      <c r="F141" s="37">
        <f t="shared" si="7"/>
        <v>0</v>
      </c>
      <c r="G141" s="37">
        <f t="shared" si="8"/>
        <v>0</v>
      </c>
      <c r="H141" s="37">
        <f t="shared" si="9"/>
        <v>0</v>
      </c>
      <c r="I141" s="37">
        <f t="shared" si="10"/>
        <v>0</v>
      </c>
      <c r="P141" s="32"/>
      <c r="U141" s="7"/>
      <c r="X141" s="7"/>
      <c r="Z141" s="31"/>
      <c r="AD141" s="7"/>
      <c r="AM141" s="7"/>
      <c r="AN141" s="7"/>
    </row>
    <row r="142" spans="2:40">
      <c r="B142" s="33">
        <f t="shared" si="11"/>
        <v>54.5</v>
      </c>
      <c r="C142" s="38">
        <f t="shared" si="6"/>
        <v>0.90833333333333333</v>
      </c>
      <c r="D142" s="37"/>
      <c r="E142" s="37" cm="1">
        <f t="array" ref="E142">IF(ISNUMBER(SEARCH(".5",B142)),(E141+E143)/2,INDEX(Regen!$A$1:$Z$123,MATCH(ROUND(B142,0),Regen!$A:$A,0),Berechnung_Retention!$J$9))</f>
        <v>82.327289449999995</v>
      </c>
      <c r="F142" s="37">
        <f t="shared" si="7"/>
        <v>0</v>
      </c>
      <c r="G142" s="37">
        <f t="shared" si="8"/>
        <v>0</v>
      </c>
      <c r="H142" s="37">
        <f t="shared" si="9"/>
        <v>0</v>
      </c>
      <c r="I142" s="37">
        <f t="shared" si="10"/>
        <v>0</v>
      </c>
      <c r="P142" s="32"/>
      <c r="U142" s="7"/>
      <c r="X142" s="7"/>
      <c r="Z142" s="31"/>
      <c r="AD142" s="7"/>
      <c r="AM142" s="7"/>
      <c r="AN142" s="7"/>
    </row>
    <row r="143" spans="2:40">
      <c r="B143" s="33">
        <f t="shared" si="11"/>
        <v>55</v>
      </c>
      <c r="C143" s="38">
        <f t="shared" si="6"/>
        <v>0.91666666666666663</v>
      </c>
      <c r="D143" s="37"/>
      <c r="E143" s="37" cm="1">
        <f t="array" ref="E143">IF(ISNUMBER(SEARCH(".5",B143)),(E142+E144)/2,INDEX(Regen!$A$1:$Z$123,MATCH(ROUND(B143,0),Regen!$A:$A,0),Berechnung_Retention!$J$9))</f>
        <v>81.815850010000005</v>
      </c>
      <c r="F143" s="37">
        <f t="shared" si="7"/>
        <v>0</v>
      </c>
      <c r="G143" s="37">
        <f t="shared" si="8"/>
        <v>0</v>
      </c>
      <c r="H143" s="37">
        <f t="shared" si="9"/>
        <v>0</v>
      </c>
      <c r="I143" s="37">
        <f t="shared" si="10"/>
        <v>0</v>
      </c>
      <c r="P143" s="32"/>
      <c r="U143" s="7"/>
      <c r="X143" s="7"/>
      <c r="Z143" s="31"/>
      <c r="AD143" s="7"/>
      <c r="AM143" s="7"/>
      <c r="AN143" s="7"/>
    </row>
    <row r="144" spans="2:40">
      <c r="B144" s="33">
        <f t="shared" si="11"/>
        <v>55.5</v>
      </c>
      <c r="C144" s="38">
        <f t="shared" si="6"/>
        <v>0.92500000000000004</v>
      </c>
      <c r="D144" s="37"/>
      <c r="E144" s="37" cm="1">
        <f t="array" ref="E144">IF(ISNUMBER(SEARCH(".5",B144)),(E143+E145)/2,INDEX(Regen!$A$1:$Z$123,MATCH(ROUND(B144,0),Regen!$A:$A,0),Berechnung_Retention!$J$9))</f>
        <v>81.319962500000003</v>
      </c>
      <c r="F144" s="37">
        <f t="shared" si="7"/>
        <v>0</v>
      </c>
      <c r="G144" s="37">
        <f t="shared" si="8"/>
        <v>0</v>
      </c>
      <c r="H144" s="37">
        <f t="shared" si="9"/>
        <v>0</v>
      </c>
      <c r="I144" s="37">
        <f t="shared" si="10"/>
        <v>0</v>
      </c>
      <c r="P144" s="32"/>
      <c r="U144" s="7"/>
      <c r="X144" s="7"/>
      <c r="Z144" s="31"/>
      <c r="AD144" s="7"/>
      <c r="AM144" s="7"/>
      <c r="AN144" s="7"/>
    </row>
    <row r="145" spans="2:50">
      <c r="B145" s="33">
        <f t="shared" si="11"/>
        <v>56</v>
      </c>
      <c r="C145" s="38">
        <f t="shared" si="6"/>
        <v>0.93333333333333335</v>
      </c>
      <c r="D145" s="37"/>
      <c r="E145" s="37" cm="1">
        <f t="array" ref="E145">IF(ISNUMBER(SEARCH(".5",B145)),(E144+E146)/2,INDEX(Regen!$A$1:$Z$123,MATCH(ROUND(B145,0),Regen!$A:$A,0),Berechnung_Retention!$J$9))</f>
        <v>80.82407499</v>
      </c>
      <c r="F145" s="37">
        <f t="shared" si="7"/>
        <v>0</v>
      </c>
      <c r="G145" s="37">
        <f t="shared" si="8"/>
        <v>0</v>
      </c>
      <c r="H145" s="37">
        <f t="shared" si="9"/>
        <v>0</v>
      </c>
      <c r="I145" s="37">
        <f t="shared" si="10"/>
        <v>0</v>
      </c>
      <c r="P145" s="32"/>
      <c r="U145" s="7"/>
      <c r="X145" s="7"/>
      <c r="Z145" s="31"/>
      <c r="AD145" s="7"/>
      <c r="AM145" s="7"/>
      <c r="AN145" s="7"/>
    </row>
    <row r="146" spans="2:50">
      <c r="B146" s="33">
        <f t="shared" si="11"/>
        <v>56.5</v>
      </c>
      <c r="C146" s="38">
        <f t="shared" si="6"/>
        <v>0.94166666666666665</v>
      </c>
      <c r="D146" s="37"/>
      <c r="E146" s="37" cm="1">
        <f t="array" ref="E146">IF(ISNUMBER(SEARCH(".5",B146)),(E145+E147)/2,INDEX(Regen!$A$1:$Z$123,MATCH(ROUND(B146,0),Regen!$A:$A,0),Berechnung_Retention!$J$9))</f>
        <v>80.342999004999996</v>
      </c>
      <c r="F146" s="37">
        <f t="shared" si="7"/>
        <v>0</v>
      </c>
      <c r="G146" s="37">
        <f t="shared" si="8"/>
        <v>0</v>
      </c>
      <c r="H146" s="37">
        <f t="shared" si="9"/>
        <v>0</v>
      </c>
      <c r="I146" s="37">
        <f t="shared" si="10"/>
        <v>0</v>
      </c>
      <c r="P146" s="32"/>
      <c r="U146" s="7"/>
      <c r="X146" s="7"/>
      <c r="Z146" s="31"/>
      <c r="AD146" s="7"/>
      <c r="AM146" s="7"/>
      <c r="AN146" s="7"/>
    </row>
    <row r="147" spans="2:50">
      <c r="B147" s="33">
        <f t="shared" si="11"/>
        <v>57</v>
      </c>
      <c r="C147" s="38">
        <f t="shared" si="6"/>
        <v>0.95</v>
      </c>
      <c r="D147" s="37"/>
      <c r="E147" s="37" cm="1">
        <f t="array" ref="E147">IF(ISNUMBER(SEARCH(".5",B147)),(E146+E148)/2,INDEX(Regen!$A$1:$Z$123,MATCH(ROUND(B147,0),Regen!$A:$A,0),Berechnung_Retention!$J$9))</f>
        <v>79.861923020000006</v>
      </c>
      <c r="F147" s="37">
        <f t="shared" si="7"/>
        <v>0</v>
      </c>
      <c r="G147" s="37">
        <f t="shared" si="8"/>
        <v>0</v>
      </c>
      <c r="H147" s="37">
        <f t="shared" si="9"/>
        <v>0</v>
      </c>
      <c r="I147" s="37">
        <f t="shared" si="10"/>
        <v>0</v>
      </c>
      <c r="P147" s="32"/>
      <c r="U147" s="7"/>
      <c r="X147" s="7"/>
      <c r="Z147" s="31"/>
      <c r="AD147" s="7"/>
      <c r="AM147" s="7"/>
      <c r="AN147" s="7"/>
    </row>
    <row r="148" spans="2:50">
      <c r="B148" s="33">
        <f t="shared" si="11"/>
        <v>57.5</v>
      </c>
      <c r="C148" s="38">
        <f t="shared" si="6"/>
        <v>0.95833333333333337</v>
      </c>
      <c r="D148" s="37"/>
      <c r="E148" s="37" cm="1">
        <f t="array" ref="E148">IF(ISNUMBER(SEARCH(".5",B148)),(E147+E149)/2,INDEX(Regen!$A$1:$Z$123,MATCH(ROUND(B148,0),Regen!$A:$A,0),Berechnung_Retention!$J$9))</f>
        <v>79.394965670000005</v>
      </c>
      <c r="F148" s="37">
        <f t="shared" si="7"/>
        <v>0</v>
      </c>
      <c r="G148" s="37">
        <f t="shared" si="8"/>
        <v>0</v>
      </c>
      <c r="H148" s="37">
        <f t="shared" si="9"/>
        <v>0</v>
      </c>
      <c r="I148" s="37">
        <f t="shared" si="10"/>
        <v>0</v>
      </c>
      <c r="P148" s="32"/>
      <c r="U148" s="7"/>
      <c r="X148" s="7"/>
      <c r="Z148" s="31"/>
      <c r="AD148" s="7"/>
      <c r="AM148" s="7"/>
      <c r="AN148" s="7"/>
    </row>
    <row r="149" spans="2:50">
      <c r="B149" s="33">
        <f t="shared" si="11"/>
        <v>58</v>
      </c>
      <c r="C149" s="38">
        <f t="shared" si="6"/>
        <v>0.96666666666666667</v>
      </c>
      <c r="D149" s="37"/>
      <c r="E149" s="37" cm="1">
        <f t="array" ref="E149">IF(ISNUMBER(SEARCH(".5",B149)),(E148+E150)/2,INDEX(Regen!$A$1:$Z$123,MATCH(ROUND(B149,0),Regen!$A:$A,0),Berechnung_Retention!$J$9))</f>
        <v>78.928008320000004</v>
      </c>
      <c r="F149" s="37">
        <f t="shared" si="7"/>
        <v>0</v>
      </c>
      <c r="G149" s="37">
        <f t="shared" si="8"/>
        <v>0</v>
      </c>
      <c r="H149" s="37">
        <f t="shared" si="9"/>
        <v>0</v>
      </c>
      <c r="I149" s="37">
        <f t="shared" si="10"/>
        <v>0</v>
      </c>
      <c r="P149" s="32"/>
      <c r="U149" s="7"/>
      <c r="X149" s="7"/>
      <c r="Z149" s="31"/>
      <c r="AD149" s="7"/>
      <c r="AM149" s="7"/>
      <c r="AN149" s="7"/>
    </row>
    <row r="150" spans="2:50">
      <c r="B150" s="33">
        <f t="shared" si="11"/>
        <v>58.5</v>
      </c>
      <c r="C150" s="38">
        <f t="shared" si="6"/>
        <v>0.97499999999999998</v>
      </c>
      <c r="D150" s="37"/>
      <c r="E150" s="37" cm="1">
        <f t="array" ref="E150">IF(ISNUMBER(SEARCH(".5",B150)),(E149+E151)/2,INDEX(Regen!$A$1:$Z$123,MATCH(ROUND(B150,0),Regen!$A:$A,0),Berechnung_Retention!$J$9))</f>
        <v>78.474520409999997</v>
      </c>
      <c r="F150" s="37">
        <f t="shared" si="7"/>
        <v>0</v>
      </c>
      <c r="G150" s="37">
        <f t="shared" si="8"/>
        <v>0</v>
      </c>
      <c r="H150" s="37">
        <f t="shared" si="9"/>
        <v>0</v>
      </c>
      <c r="I150" s="37">
        <f t="shared" si="10"/>
        <v>0</v>
      </c>
      <c r="P150" s="32"/>
      <c r="U150" s="7"/>
      <c r="X150" s="7"/>
      <c r="Z150" s="31"/>
      <c r="AD150" s="7"/>
      <c r="AM150" s="7"/>
      <c r="AN150" s="7"/>
    </row>
    <row r="151" spans="2:50">
      <c r="B151" s="33">
        <f t="shared" si="11"/>
        <v>59</v>
      </c>
      <c r="C151" s="38">
        <f t="shared" si="6"/>
        <v>0.98333333333333328</v>
      </c>
      <c r="D151" s="37"/>
      <c r="E151" s="37" cm="1">
        <f t="array" ref="E151">IF(ISNUMBER(SEARCH(".5",B151)),(E150+E152)/2,INDEX(Regen!$A$1:$Z$123,MATCH(ROUND(B151,0),Regen!$A:$A,0),Berechnung_Retention!$J$9))</f>
        <v>78.021032500000004</v>
      </c>
      <c r="F151" s="37">
        <f t="shared" si="7"/>
        <v>0</v>
      </c>
      <c r="G151" s="37">
        <f t="shared" si="8"/>
        <v>0</v>
      </c>
      <c r="H151" s="37">
        <f t="shared" si="9"/>
        <v>0</v>
      </c>
      <c r="I151" s="37">
        <f t="shared" si="10"/>
        <v>0</v>
      </c>
      <c r="P151" s="32"/>
      <c r="U151" s="7"/>
      <c r="X151" s="7"/>
      <c r="Z151" s="31"/>
      <c r="AD151" s="7"/>
      <c r="AM151" s="7"/>
      <c r="AN151" s="7"/>
    </row>
    <row r="152" spans="2:50">
      <c r="B152" s="33">
        <f t="shared" si="11"/>
        <v>59.5</v>
      </c>
      <c r="C152" s="38">
        <f t="shared" si="6"/>
        <v>0.9916666666666667</v>
      </c>
      <c r="D152" s="37"/>
      <c r="E152" s="37" cm="1">
        <f t="array" ref="E152">IF(ISNUMBER(SEARCH(".5",B152)),(E151+E153)/2,INDEX(Regen!$A$1:$Z$123,MATCH(ROUND(B152,0),Regen!$A:$A,0),Berechnung_Retention!$J$9))</f>
        <v>77.580405084999995</v>
      </c>
      <c r="F152" s="37">
        <f t="shared" si="7"/>
        <v>0</v>
      </c>
      <c r="G152" s="37">
        <f t="shared" si="8"/>
        <v>0</v>
      </c>
      <c r="H152" s="37">
        <f t="shared" si="9"/>
        <v>0</v>
      </c>
      <c r="I152" s="37">
        <f t="shared" si="10"/>
        <v>0</v>
      </c>
      <c r="P152" s="32"/>
      <c r="U152" s="7"/>
      <c r="X152" s="7"/>
      <c r="Z152" s="31"/>
      <c r="AD152" s="7"/>
      <c r="AM152" s="7"/>
      <c r="AN152" s="7"/>
    </row>
    <row r="153" spans="2:50">
      <c r="B153" s="33">
        <f t="shared" si="11"/>
        <v>60</v>
      </c>
      <c r="C153" s="38">
        <f t="shared" si="6"/>
        <v>1</v>
      </c>
      <c r="D153" s="37"/>
      <c r="E153" s="37" cm="1">
        <f t="array" ref="E153">IF(ISNUMBER(SEARCH(".5",B153)),(E152+E154)/2,INDEX(Regen!$A$1:$Z$123,MATCH(ROUND(B153,0),Regen!$A:$A,0),Berechnung_Retention!$J$9))</f>
        <v>77.139777670000001</v>
      </c>
      <c r="F153" s="37">
        <f t="shared" si="7"/>
        <v>0</v>
      </c>
      <c r="G153" s="37">
        <f t="shared" si="8"/>
        <v>0</v>
      </c>
      <c r="H153" s="37">
        <f t="shared" si="9"/>
        <v>0</v>
      </c>
      <c r="I153" s="37">
        <f t="shared" si="10"/>
        <v>0</v>
      </c>
      <c r="P153" s="32"/>
      <c r="U153" s="7"/>
      <c r="X153" s="7"/>
      <c r="Z153" s="31"/>
      <c r="AD153" s="7"/>
      <c r="AM153" s="7"/>
      <c r="AN153" s="7"/>
    </row>
    <row r="154" spans="2:50">
      <c r="B154" s="33">
        <f t="shared" si="11"/>
        <v>60.5</v>
      </c>
      <c r="C154" s="38">
        <f t="shared" si="6"/>
        <v>1.0083333333333333</v>
      </c>
      <c r="D154" s="37"/>
      <c r="E154" s="37" cm="1">
        <f t="array" ref="E154">IF(ISNUMBER(SEARCH(".5",B154)),(E153+E155)/2,INDEX(Regen!$A$1:$Z$123,MATCH(ROUND(B154,0),Regen!$A:$A,0),Berechnung_Retention!$J$9))</f>
        <v>76.654250684999994</v>
      </c>
      <c r="F154" s="37">
        <f t="shared" si="7"/>
        <v>0</v>
      </c>
      <c r="G154" s="37">
        <f t="shared" si="8"/>
        <v>0</v>
      </c>
      <c r="H154" s="37">
        <f t="shared" si="9"/>
        <v>0</v>
      </c>
      <c r="I154" s="37">
        <f t="shared" si="10"/>
        <v>0</v>
      </c>
      <c r="L154" s="35"/>
      <c r="P154" s="32"/>
      <c r="U154" s="7"/>
      <c r="X154" s="7"/>
      <c r="Z154" s="31"/>
      <c r="AD154" s="7"/>
      <c r="AM154" s="7"/>
      <c r="AN154" s="7"/>
    </row>
    <row r="155" spans="2:50">
      <c r="B155" s="33">
        <f t="shared" si="11"/>
        <v>61</v>
      </c>
      <c r="C155" s="38">
        <f t="shared" si="6"/>
        <v>1.0166666666666666</v>
      </c>
      <c r="D155" s="37"/>
      <c r="E155" s="37" cm="1">
        <f t="array" ref="E155">IF(ISNUMBER(SEARCH(".5",B155)),(E154+E156)/2,INDEX(Regen!$A$1:$Z$123,MATCH(ROUND(B155,0),Regen!$A:$A,0),Berechnung_Retention!$J$9))</f>
        <v>76.168723700000001</v>
      </c>
      <c r="F155" s="37">
        <f t="shared" si="7"/>
        <v>0</v>
      </c>
      <c r="G155" s="37">
        <f t="shared" si="8"/>
        <v>0</v>
      </c>
      <c r="H155" s="37">
        <f t="shared" si="9"/>
        <v>0</v>
      </c>
      <c r="I155" s="37">
        <f t="shared" si="10"/>
        <v>0</v>
      </c>
      <c r="L155" s="33"/>
      <c r="M155" s="38"/>
      <c r="N155" s="37"/>
      <c r="O155" s="37"/>
      <c r="P155" s="37"/>
      <c r="Q155" s="37"/>
      <c r="R155" s="37"/>
      <c r="S155" s="37"/>
      <c r="T155" s="35"/>
      <c r="U155" s="36"/>
      <c r="V155" s="35"/>
      <c r="AE155" s="7"/>
      <c r="AH155" s="7"/>
      <c r="AN155" s="7"/>
      <c r="AW155" s="7"/>
      <c r="AX155" s="7"/>
    </row>
    <row r="156" spans="2:50">
      <c r="B156" s="33">
        <f t="shared" si="11"/>
        <v>61.5</v>
      </c>
      <c r="C156" s="38">
        <f t="shared" si="6"/>
        <v>1.0249999999999999</v>
      </c>
      <c r="D156" s="37"/>
      <c r="E156" s="37" cm="1">
        <f t="array" ref="E156">IF(ISNUMBER(SEARCH(".5",B156)),(E155+E157)/2,INDEX(Regen!$A$1:$Z$123,MATCH(ROUND(B156,0),Regen!$A:$A,0),Berechnung_Retention!$J$9))</f>
        <v>75.697538589999994</v>
      </c>
      <c r="F156" s="37">
        <f t="shared" si="7"/>
        <v>0</v>
      </c>
      <c r="G156" s="37">
        <f t="shared" si="8"/>
        <v>0</v>
      </c>
      <c r="H156" s="37">
        <f t="shared" si="9"/>
        <v>0</v>
      </c>
      <c r="I156" s="37">
        <f t="shared" si="10"/>
        <v>0</v>
      </c>
      <c r="L156" s="33"/>
      <c r="M156" s="38"/>
      <c r="N156" s="37"/>
      <c r="O156" s="37"/>
      <c r="P156" s="37"/>
      <c r="Q156" s="37"/>
      <c r="R156" s="37"/>
      <c r="S156" s="37"/>
      <c r="T156" s="35"/>
      <c r="U156" s="36"/>
      <c r="V156" s="35"/>
      <c r="AE156" s="7"/>
      <c r="AH156" s="7"/>
      <c r="AN156" s="7"/>
      <c r="AW156" s="7"/>
      <c r="AX156" s="7"/>
    </row>
    <row r="157" spans="2:50">
      <c r="B157" s="33">
        <f t="shared" si="11"/>
        <v>62</v>
      </c>
      <c r="C157" s="38">
        <f t="shared" si="6"/>
        <v>1.0333333333333334</v>
      </c>
      <c r="D157" s="37"/>
      <c r="E157" s="37" cm="1">
        <f t="array" ref="E157">IF(ISNUMBER(SEARCH(".5",B157)),(E156+E158)/2,INDEX(Regen!$A$1:$Z$123,MATCH(ROUND(B157,0),Regen!$A:$A,0),Berechnung_Retention!$J$9))</f>
        <v>75.22635348</v>
      </c>
      <c r="F157" s="37">
        <f t="shared" si="7"/>
        <v>0</v>
      </c>
      <c r="G157" s="37">
        <f t="shared" si="8"/>
        <v>0</v>
      </c>
      <c r="H157" s="37">
        <f t="shared" si="9"/>
        <v>0</v>
      </c>
      <c r="I157" s="37">
        <f t="shared" si="10"/>
        <v>0</v>
      </c>
      <c r="L157" s="33"/>
      <c r="M157" s="38"/>
      <c r="N157" s="37"/>
      <c r="O157" s="37"/>
      <c r="P157" s="37"/>
      <c r="Q157" s="37"/>
      <c r="R157" s="37"/>
      <c r="S157" s="37"/>
      <c r="T157" s="35"/>
      <c r="U157" s="36"/>
      <c r="V157" s="35"/>
      <c r="AE157" s="7"/>
      <c r="AH157" s="7"/>
      <c r="AN157" s="7"/>
      <c r="AW157" s="7"/>
      <c r="AX157" s="7"/>
    </row>
    <row r="158" spans="2:50">
      <c r="B158" s="33">
        <f t="shared" si="11"/>
        <v>62.5</v>
      </c>
      <c r="C158" s="38">
        <f t="shared" si="6"/>
        <v>1.0416666666666667</v>
      </c>
      <c r="D158" s="37"/>
      <c r="E158" s="37" cm="1">
        <f t="array" ref="E158">IF(ISNUMBER(SEARCH(".5",B158)),(E157+E159)/2,INDEX(Regen!$A$1:$Z$123,MATCH(ROUND(B158,0),Regen!$A:$A,0),Berechnung_Retention!$J$9))</f>
        <v>74.768859710000001</v>
      </c>
      <c r="F158" s="37">
        <f t="shared" si="7"/>
        <v>0</v>
      </c>
      <c r="G158" s="37">
        <f t="shared" si="8"/>
        <v>0</v>
      </c>
      <c r="H158" s="37">
        <f t="shared" si="9"/>
        <v>0</v>
      </c>
      <c r="I158" s="37">
        <f t="shared" si="10"/>
        <v>0</v>
      </c>
      <c r="L158" s="33"/>
      <c r="M158" s="38"/>
      <c r="N158" s="37"/>
      <c r="O158" s="37"/>
      <c r="P158" s="37"/>
      <c r="Q158" s="37"/>
      <c r="R158" s="37"/>
      <c r="S158" s="37"/>
      <c r="T158" s="35"/>
      <c r="U158" s="36"/>
      <c r="V158" s="35"/>
      <c r="AE158" s="7"/>
      <c r="AH158" s="7"/>
      <c r="AN158" s="7"/>
      <c r="AW158" s="7"/>
      <c r="AX158" s="7"/>
    </row>
    <row r="159" spans="2:50">
      <c r="B159" s="33">
        <f t="shared" si="11"/>
        <v>63</v>
      </c>
      <c r="C159" s="38">
        <f t="shared" si="6"/>
        <v>1.05</v>
      </c>
      <c r="D159" s="37"/>
      <c r="E159" s="37" cm="1">
        <f t="array" ref="E159">IF(ISNUMBER(SEARCH(".5",B159)),(E158+E160)/2,INDEX(Regen!$A$1:$Z$123,MATCH(ROUND(B159,0),Regen!$A:$A,0),Berechnung_Retention!$J$9))</f>
        <v>74.311365940000002</v>
      </c>
      <c r="F159" s="37">
        <f t="shared" si="7"/>
        <v>0</v>
      </c>
      <c r="G159" s="37">
        <f t="shared" si="8"/>
        <v>0</v>
      </c>
      <c r="H159" s="37">
        <f t="shared" si="9"/>
        <v>0</v>
      </c>
      <c r="I159" s="37">
        <f t="shared" si="10"/>
        <v>0</v>
      </c>
      <c r="L159" s="33"/>
      <c r="M159" s="38"/>
      <c r="N159" s="37"/>
      <c r="O159" s="37"/>
      <c r="P159" s="37"/>
      <c r="Q159" s="37"/>
      <c r="R159" s="37"/>
      <c r="S159" s="37"/>
      <c r="T159" s="35"/>
      <c r="U159" s="36"/>
      <c r="V159" s="35"/>
      <c r="AE159" s="7"/>
      <c r="AH159" s="7"/>
      <c r="AN159" s="7"/>
      <c r="AW159" s="7"/>
      <c r="AX159" s="7"/>
    </row>
    <row r="160" spans="2:50">
      <c r="B160" s="33">
        <f t="shared" si="11"/>
        <v>63.5</v>
      </c>
      <c r="C160" s="38">
        <f t="shared" si="6"/>
        <v>1.0583333333333333</v>
      </c>
      <c r="D160" s="37"/>
      <c r="E160" s="37" cm="1">
        <f t="array" ref="E160">IF(ISNUMBER(SEARCH(".5",B160)),(E159+E161)/2,INDEX(Regen!$A$1:$Z$123,MATCH(ROUND(B160,0),Regen!$A:$A,0),Berechnung_Retention!$J$9))</f>
        <v>73.866952335000008</v>
      </c>
      <c r="F160" s="37">
        <f t="shared" si="7"/>
        <v>0</v>
      </c>
      <c r="G160" s="37">
        <f t="shared" si="8"/>
        <v>0</v>
      </c>
      <c r="H160" s="37">
        <f t="shared" si="9"/>
        <v>0</v>
      </c>
      <c r="I160" s="37">
        <f t="shared" si="10"/>
        <v>0</v>
      </c>
      <c r="L160" s="33"/>
      <c r="M160" s="38"/>
      <c r="N160" s="37"/>
      <c r="O160" s="37"/>
      <c r="P160" s="37"/>
      <c r="Q160" s="37"/>
      <c r="R160" s="37"/>
      <c r="S160" s="37"/>
      <c r="T160" s="35"/>
      <c r="U160" s="36"/>
      <c r="V160" s="35"/>
      <c r="AE160" s="7"/>
      <c r="AH160" s="7"/>
      <c r="AN160" s="7"/>
      <c r="AW160" s="7"/>
      <c r="AX160" s="7"/>
    </row>
    <row r="161" spans="2:50">
      <c r="B161" s="33">
        <f t="shared" si="11"/>
        <v>64</v>
      </c>
      <c r="C161" s="38">
        <f t="shared" ref="C161:C224" si="12">B161/60</f>
        <v>1.0666666666666667</v>
      </c>
      <c r="D161" s="37"/>
      <c r="E161" s="37" cm="1">
        <f t="array" ref="E161">IF(ISNUMBER(SEARCH(".5",B161)),(E160+E162)/2,INDEX(Regen!$A$1:$Z$123,MATCH(ROUND(B161,0),Regen!$A:$A,0),Berechnung_Retention!$J$9))</f>
        <v>73.422538729999999</v>
      </c>
      <c r="F161" s="37">
        <f t="shared" ref="F161:F224" si="13">E161*$B$12</f>
        <v>0</v>
      </c>
      <c r="G161" s="37">
        <f t="shared" ref="G161:G224" si="14">F161*60*B161/1000</f>
        <v>0</v>
      </c>
      <c r="H161" s="37">
        <f t="shared" ref="H161:H224" si="15">B161*60/1000*$B$14</f>
        <v>0</v>
      </c>
      <c r="I161" s="37">
        <f t="shared" ref="I161:I224" si="16">G161-H161</f>
        <v>0</v>
      </c>
      <c r="L161" s="33"/>
      <c r="M161" s="38"/>
      <c r="N161" s="37"/>
      <c r="O161" s="37"/>
      <c r="P161" s="37"/>
      <c r="Q161" s="37"/>
      <c r="R161" s="37"/>
      <c r="S161" s="37"/>
      <c r="T161" s="35"/>
      <c r="U161" s="36"/>
      <c r="V161" s="35"/>
      <c r="AE161" s="7"/>
      <c r="AH161" s="7"/>
      <c r="AN161" s="7"/>
      <c r="AW161" s="7"/>
      <c r="AX161" s="7"/>
    </row>
    <row r="162" spans="2:50">
      <c r="B162" s="33">
        <f t="shared" ref="B162:B225" si="17">+B161+0.5</f>
        <v>64.5</v>
      </c>
      <c r="C162" s="38">
        <f t="shared" si="12"/>
        <v>1.075</v>
      </c>
      <c r="D162" s="37"/>
      <c r="E162" s="37" cm="1">
        <f t="array" ref="E162">IF(ISNUMBER(SEARCH(".5",B162)),(E161+E163)/2,INDEX(Regen!$A$1:$Z$123,MATCH(ROUND(B162,0),Regen!$A:$A,0),Berechnung_Retention!$J$9))</f>
        <v>72.990630545000002</v>
      </c>
      <c r="F162" s="37">
        <f t="shared" si="13"/>
        <v>0</v>
      </c>
      <c r="G162" s="37">
        <f t="shared" si="14"/>
        <v>0</v>
      </c>
      <c r="H162" s="37">
        <f t="shared" si="15"/>
        <v>0</v>
      </c>
      <c r="I162" s="37">
        <f t="shared" si="16"/>
        <v>0</v>
      </c>
      <c r="L162" s="33"/>
      <c r="M162" s="38"/>
      <c r="N162" s="37"/>
      <c r="O162" s="37"/>
      <c r="P162" s="37"/>
      <c r="Q162" s="37"/>
      <c r="R162" s="37"/>
      <c r="S162" s="37"/>
      <c r="T162" s="35"/>
      <c r="U162" s="36"/>
      <c r="V162" s="35"/>
      <c r="AE162" s="7"/>
      <c r="AH162" s="7"/>
      <c r="AN162" s="7"/>
      <c r="AW162" s="7"/>
      <c r="AX162" s="7"/>
    </row>
    <row r="163" spans="2:50">
      <c r="B163" s="33">
        <f t="shared" si="17"/>
        <v>65</v>
      </c>
      <c r="C163" s="38">
        <f t="shared" si="12"/>
        <v>1.0833333333333333</v>
      </c>
      <c r="D163" s="37"/>
      <c r="E163" s="37" cm="1">
        <f t="array" ref="E163">IF(ISNUMBER(SEARCH(".5",B163)),(E162+E164)/2,INDEX(Regen!$A$1:$Z$123,MATCH(ROUND(B163,0),Regen!$A:$A,0),Berechnung_Retention!$J$9))</f>
        <v>72.558722360000004</v>
      </c>
      <c r="F163" s="37">
        <f t="shared" si="13"/>
        <v>0</v>
      </c>
      <c r="G163" s="37">
        <f t="shared" si="14"/>
        <v>0</v>
      </c>
      <c r="H163" s="37">
        <f t="shared" si="15"/>
        <v>0</v>
      </c>
      <c r="I163" s="37">
        <f t="shared" si="16"/>
        <v>0</v>
      </c>
      <c r="L163" s="33"/>
      <c r="M163" s="38"/>
      <c r="N163" s="37"/>
      <c r="O163" s="37"/>
      <c r="P163" s="37"/>
      <c r="Q163" s="37"/>
      <c r="R163" s="37"/>
      <c r="S163" s="37"/>
      <c r="T163" s="35"/>
      <c r="U163" s="36"/>
      <c r="V163" s="35"/>
      <c r="AE163" s="7"/>
      <c r="AH163" s="7"/>
      <c r="AN163" s="7"/>
      <c r="AW163" s="7"/>
      <c r="AX163" s="7"/>
    </row>
    <row r="164" spans="2:50">
      <c r="B164" s="33">
        <f t="shared" si="17"/>
        <v>65.5</v>
      </c>
      <c r="C164" s="38">
        <f t="shared" si="12"/>
        <v>1.0916666666666666</v>
      </c>
      <c r="D164" s="37"/>
      <c r="E164" s="37" cm="1">
        <f t="array" ref="E164">IF(ISNUMBER(SEARCH(".5",B164)),(E163+E165)/2,INDEX(Regen!$A$1:$Z$123,MATCH(ROUND(B164,0),Regen!$A:$A,0),Berechnung_Retention!$J$9))</f>
        <v>72.138778559999992</v>
      </c>
      <c r="F164" s="37">
        <f t="shared" si="13"/>
        <v>0</v>
      </c>
      <c r="G164" s="37">
        <f t="shared" si="14"/>
        <v>0</v>
      </c>
      <c r="H164" s="37">
        <f t="shared" si="15"/>
        <v>0</v>
      </c>
      <c r="I164" s="37">
        <f t="shared" si="16"/>
        <v>0</v>
      </c>
      <c r="L164" s="33"/>
      <c r="M164" s="38"/>
      <c r="N164" s="37"/>
      <c r="O164" s="37"/>
      <c r="P164" s="37"/>
      <c r="Q164" s="37"/>
      <c r="R164" s="37"/>
      <c r="S164" s="37"/>
      <c r="T164" s="35"/>
      <c r="U164" s="36"/>
      <c r="V164" s="35"/>
      <c r="AE164" s="7"/>
      <c r="AH164" s="7"/>
      <c r="AN164" s="7"/>
      <c r="AW164" s="7"/>
      <c r="AX164" s="7"/>
    </row>
    <row r="165" spans="2:50">
      <c r="B165" s="33">
        <f t="shared" si="17"/>
        <v>66</v>
      </c>
      <c r="C165" s="38">
        <f t="shared" si="12"/>
        <v>1.1000000000000001</v>
      </c>
      <c r="D165" s="37"/>
      <c r="E165" s="37" cm="1">
        <f t="array" ref="E165">IF(ISNUMBER(SEARCH(".5",B165)),(E164+E166)/2,INDEX(Regen!$A$1:$Z$123,MATCH(ROUND(B165,0),Regen!$A:$A,0),Berechnung_Retention!$J$9))</f>
        <v>71.718834759999993</v>
      </c>
      <c r="F165" s="37">
        <f t="shared" si="13"/>
        <v>0</v>
      </c>
      <c r="G165" s="37">
        <f t="shared" si="14"/>
        <v>0</v>
      </c>
      <c r="H165" s="37">
        <f t="shared" si="15"/>
        <v>0</v>
      </c>
      <c r="I165" s="37">
        <f t="shared" si="16"/>
        <v>0</v>
      </c>
      <c r="L165" s="33"/>
      <c r="M165" s="38"/>
      <c r="N165" s="37"/>
      <c r="O165" s="37"/>
      <c r="P165" s="37"/>
      <c r="Q165" s="37"/>
      <c r="R165" s="37"/>
      <c r="S165" s="37"/>
      <c r="T165" s="35"/>
      <c r="U165" s="36"/>
      <c r="V165" s="35"/>
      <c r="AE165" s="7"/>
      <c r="AH165" s="7"/>
      <c r="AN165" s="7"/>
      <c r="AW165" s="7"/>
      <c r="AX165" s="7"/>
    </row>
    <row r="166" spans="2:50">
      <c r="B166" s="33">
        <f t="shared" si="17"/>
        <v>66.5</v>
      </c>
      <c r="C166" s="38">
        <f t="shared" si="12"/>
        <v>1.1083333333333334</v>
      </c>
      <c r="D166" s="37"/>
      <c r="E166" s="37" cm="1">
        <f t="array" ref="E166">IF(ISNUMBER(SEARCH(".5",B166)),(E165+E167)/2,INDEX(Regen!$A$1:$Z$123,MATCH(ROUND(B166,0),Regen!$A:$A,0),Berechnung_Retention!$J$9))</f>
        <v>71.310345574999999</v>
      </c>
      <c r="F166" s="37">
        <f t="shared" si="13"/>
        <v>0</v>
      </c>
      <c r="G166" s="37">
        <f t="shared" si="14"/>
        <v>0</v>
      </c>
      <c r="H166" s="37">
        <f t="shared" si="15"/>
        <v>0</v>
      </c>
      <c r="I166" s="37">
        <f t="shared" si="16"/>
        <v>0</v>
      </c>
      <c r="L166" s="33"/>
      <c r="M166" s="38"/>
      <c r="N166" s="37"/>
      <c r="O166" s="37"/>
      <c r="P166" s="37"/>
      <c r="Q166" s="37"/>
      <c r="R166" s="37"/>
      <c r="S166" s="37"/>
      <c r="T166" s="35"/>
      <c r="U166" s="36"/>
      <c r="V166" s="35"/>
      <c r="AE166" s="7"/>
      <c r="AH166" s="7"/>
      <c r="AN166" s="7"/>
      <c r="AW166" s="7"/>
      <c r="AX166" s="7"/>
    </row>
    <row r="167" spans="2:50">
      <c r="B167" s="33">
        <f t="shared" si="17"/>
        <v>67</v>
      </c>
      <c r="C167" s="38">
        <f t="shared" si="12"/>
        <v>1.1166666666666667</v>
      </c>
      <c r="D167" s="37"/>
      <c r="E167" s="37" cm="1">
        <f t="array" ref="E167">IF(ISNUMBER(SEARCH(".5",B167)),(E166+E168)/2,INDEX(Regen!$A$1:$Z$123,MATCH(ROUND(B167,0),Regen!$A:$A,0),Berechnung_Retention!$J$9))</f>
        <v>70.901856390000006</v>
      </c>
      <c r="F167" s="37">
        <f t="shared" si="13"/>
        <v>0</v>
      </c>
      <c r="G167" s="37">
        <f t="shared" si="14"/>
        <v>0</v>
      </c>
      <c r="H167" s="37">
        <f t="shared" si="15"/>
        <v>0</v>
      </c>
      <c r="I167" s="37">
        <f t="shared" si="16"/>
        <v>0</v>
      </c>
      <c r="L167" s="33"/>
      <c r="M167" s="38"/>
      <c r="N167" s="37"/>
      <c r="O167" s="37"/>
      <c r="P167" s="37"/>
      <c r="Q167" s="37"/>
      <c r="R167" s="37"/>
      <c r="S167" s="37"/>
      <c r="T167" s="35"/>
      <c r="U167" s="36"/>
      <c r="V167" s="35"/>
      <c r="AE167" s="7"/>
      <c r="AH167" s="7"/>
      <c r="AN167" s="7"/>
      <c r="AW167" s="7"/>
      <c r="AX167" s="7"/>
    </row>
    <row r="168" spans="2:50">
      <c r="B168" s="33">
        <f t="shared" si="17"/>
        <v>67.5</v>
      </c>
      <c r="C168" s="38">
        <f t="shared" si="12"/>
        <v>1.125</v>
      </c>
      <c r="D168" s="37"/>
      <c r="E168" s="37" cm="1">
        <f t="array" ref="E168">IF(ISNUMBER(SEARCH(".5",B168)),(E167+E169)/2,INDEX(Regen!$A$1:$Z$123,MATCH(ROUND(B168,0),Regen!$A:$A,0),Berechnung_Retention!$J$9))</f>
        <v>70.504341070000009</v>
      </c>
      <c r="F168" s="37">
        <f t="shared" si="13"/>
        <v>0</v>
      </c>
      <c r="G168" s="37">
        <f t="shared" si="14"/>
        <v>0</v>
      </c>
      <c r="H168" s="37">
        <f t="shared" si="15"/>
        <v>0</v>
      </c>
      <c r="I168" s="37">
        <f t="shared" si="16"/>
        <v>0</v>
      </c>
      <c r="L168" s="33"/>
      <c r="M168" s="38"/>
      <c r="N168" s="37"/>
      <c r="O168" s="37"/>
      <c r="P168" s="37"/>
      <c r="Q168" s="37"/>
      <c r="R168" s="37"/>
      <c r="S168" s="37"/>
      <c r="T168" s="35"/>
      <c r="U168" s="36"/>
      <c r="V168" s="35"/>
      <c r="AE168" s="7"/>
      <c r="AH168" s="7"/>
      <c r="AN168" s="7"/>
      <c r="AW168" s="7"/>
      <c r="AX168" s="7"/>
    </row>
    <row r="169" spans="2:50">
      <c r="B169" s="33">
        <f t="shared" si="17"/>
        <v>68</v>
      </c>
      <c r="C169" s="38">
        <f t="shared" si="12"/>
        <v>1.1333333333333333</v>
      </c>
      <c r="D169" s="37"/>
      <c r="E169" s="37" cm="1">
        <f t="array" ref="E169">IF(ISNUMBER(SEARCH(".5",B169)),(E168+E170)/2,INDEX(Regen!$A$1:$Z$123,MATCH(ROUND(B169,0),Regen!$A:$A,0),Berechnung_Retention!$J$9))</f>
        <v>70.106825749999999</v>
      </c>
      <c r="F169" s="37">
        <f t="shared" si="13"/>
        <v>0</v>
      </c>
      <c r="G169" s="37">
        <f t="shared" si="14"/>
        <v>0</v>
      </c>
      <c r="H169" s="37">
        <f t="shared" si="15"/>
        <v>0</v>
      </c>
      <c r="I169" s="37">
        <f t="shared" si="16"/>
        <v>0</v>
      </c>
      <c r="L169" s="33"/>
      <c r="M169" s="38"/>
      <c r="N169" s="37"/>
      <c r="O169" s="37"/>
      <c r="P169" s="37"/>
      <c r="Q169" s="37"/>
      <c r="R169" s="37"/>
      <c r="S169" s="37"/>
      <c r="T169" s="35"/>
      <c r="U169" s="36"/>
      <c r="V169" s="35"/>
      <c r="AE169" s="7"/>
      <c r="AH169" s="7"/>
      <c r="AN169" s="7"/>
      <c r="AW169" s="7"/>
      <c r="AX169" s="7"/>
    </row>
    <row r="170" spans="2:50">
      <c r="B170" s="33">
        <f t="shared" si="17"/>
        <v>68.5</v>
      </c>
      <c r="C170" s="38">
        <f t="shared" si="12"/>
        <v>1.1416666666666666</v>
      </c>
      <c r="D170" s="37"/>
      <c r="E170" s="37" cm="1">
        <f t="array" ref="E170">IF(ISNUMBER(SEARCH(".5",B170)),(E169+E171)/2,INDEX(Regen!$A$1:$Z$123,MATCH(ROUND(B170,0),Regen!$A:$A,0),Berechnung_Retention!$J$9))</f>
        <v>69.719830505000004</v>
      </c>
      <c r="F170" s="37">
        <f t="shared" si="13"/>
        <v>0</v>
      </c>
      <c r="G170" s="37">
        <f t="shared" si="14"/>
        <v>0</v>
      </c>
      <c r="H170" s="37">
        <f t="shared" si="15"/>
        <v>0</v>
      </c>
      <c r="I170" s="37">
        <f t="shared" si="16"/>
        <v>0</v>
      </c>
      <c r="L170" s="33"/>
      <c r="M170" s="38"/>
      <c r="N170" s="37"/>
      <c r="O170" s="37"/>
      <c r="P170" s="37"/>
      <c r="Q170" s="37"/>
      <c r="R170" s="37"/>
      <c r="S170" s="37"/>
      <c r="T170" s="35"/>
      <c r="U170" s="36"/>
      <c r="V170" s="35"/>
      <c r="AE170" s="7"/>
      <c r="AH170" s="7"/>
      <c r="AN170" s="7"/>
      <c r="AW170" s="7"/>
      <c r="AX170" s="7"/>
    </row>
    <row r="171" spans="2:50">
      <c r="B171" s="33">
        <f t="shared" si="17"/>
        <v>69</v>
      </c>
      <c r="C171" s="38">
        <f t="shared" si="12"/>
        <v>1.1499999999999999</v>
      </c>
      <c r="D171" s="37"/>
      <c r="E171" s="37" cm="1">
        <f t="array" ref="E171">IF(ISNUMBER(SEARCH(".5",B171)),(E170+E172)/2,INDEX(Regen!$A$1:$Z$123,MATCH(ROUND(B171,0),Regen!$A:$A,0),Berechnung_Retention!$J$9))</f>
        <v>69.332835259999996</v>
      </c>
      <c r="F171" s="37">
        <f t="shared" si="13"/>
        <v>0</v>
      </c>
      <c r="G171" s="37">
        <f t="shared" si="14"/>
        <v>0</v>
      </c>
      <c r="H171" s="37">
        <f t="shared" si="15"/>
        <v>0</v>
      </c>
      <c r="I171" s="37">
        <f t="shared" si="16"/>
        <v>0</v>
      </c>
      <c r="L171" s="33"/>
      <c r="M171" s="38"/>
      <c r="N171" s="37"/>
      <c r="O171" s="37"/>
      <c r="P171" s="37"/>
      <c r="Q171" s="37"/>
      <c r="R171" s="37"/>
      <c r="S171" s="37"/>
      <c r="T171" s="35"/>
      <c r="U171" s="36"/>
      <c r="V171" s="35"/>
      <c r="AE171" s="7"/>
      <c r="AH171" s="7"/>
      <c r="AN171" s="7"/>
      <c r="AW171" s="7"/>
      <c r="AX171" s="7"/>
    </row>
    <row r="172" spans="2:50">
      <c r="B172" s="33">
        <f t="shared" si="17"/>
        <v>69.5</v>
      </c>
      <c r="C172" s="38">
        <f t="shared" si="12"/>
        <v>1.1583333333333334</v>
      </c>
      <c r="D172" s="37"/>
      <c r="E172" s="37" cm="1">
        <f t="array" ref="E172">IF(ISNUMBER(SEARCH(".5",B172)),(E171+E173)/2,INDEX(Regen!$A$1:$Z$123,MATCH(ROUND(B172,0),Regen!$A:$A,0),Berechnung_Retention!$J$9))</f>
        <v>68.955931385</v>
      </c>
      <c r="F172" s="37">
        <f t="shared" si="13"/>
        <v>0</v>
      </c>
      <c r="G172" s="37">
        <f t="shared" si="14"/>
        <v>0</v>
      </c>
      <c r="H172" s="37">
        <f t="shared" si="15"/>
        <v>0</v>
      </c>
      <c r="I172" s="37">
        <f t="shared" si="16"/>
        <v>0</v>
      </c>
      <c r="L172" s="33"/>
      <c r="M172" s="38"/>
      <c r="N172" s="37"/>
      <c r="O172" s="37"/>
      <c r="P172" s="37"/>
      <c r="Q172" s="37"/>
      <c r="R172" s="37"/>
      <c r="S172" s="37"/>
      <c r="T172" s="35"/>
      <c r="U172" s="36"/>
      <c r="V172" s="35"/>
      <c r="AE172" s="7"/>
      <c r="AH172" s="7"/>
      <c r="AN172" s="7"/>
      <c r="AW172" s="7"/>
      <c r="AX172" s="7"/>
    </row>
    <row r="173" spans="2:50">
      <c r="B173" s="33">
        <f t="shared" si="17"/>
        <v>70</v>
      </c>
      <c r="C173" s="38">
        <f t="shared" si="12"/>
        <v>1.1666666666666667</v>
      </c>
      <c r="D173" s="37"/>
      <c r="E173" s="37" cm="1">
        <f t="array" ref="E173">IF(ISNUMBER(SEARCH(".5",B173)),(E172+E174)/2,INDEX(Regen!$A$1:$Z$123,MATCH(ROUND(B173,0),Regen!$A:$A,0),Berechnung_Retention!$J$9))</f>
        <v>68.579027510000003</v>
      </c>
      <c r="F173" s="37">
        <f t="shared" si="13"/>
        <v>0</v>
      </c>
      <c r="G173" s="37">
        <f t="shared" si="14"/>
        <v>0</v>
      </c>
      <c r="H173" s="37">
        <f t="shared" si="15"/>
        <v>0</v>
      </c>
      <c r="I173" s="37">
        <f t="shared" si="16"/>
        <v>0</v>
      </c>
      <c r="L173" s="33"/>
      <c r="M173" s="38"/>
      <c r="N173" s="37"/>
      <c r="O173" s="37"/>
      <c r="P173" s="37"/>
      <c r="Q173" s="37"/>
      <c r="R173" s="37"/>
      <c r="S173" s="37"/>
      <c r="T173" s="35"/>
      <c r="U173" s="36"/>
      <c r="V173" s="35"/>
      <c r="AE173" s="7"/>
      <c r="AH173" s="7"/>
      <c r="AN173" s="7"/>
      <c r="AW173" s="7"/>
      <c r="AX173" s="7"/>
    </row>
    <row r="174" spans="2:50">
      <c r="B174" s="33">
        <f t="shared" si="17"/>
        <v>70.5</v>
      </c>
      <c r="C174" s="38">
        <f t="shared" si="12"/>
        <v>1.175</v>
      </c>
      <c r="D174" s="37"/>
      <c r="E174" s="37" cm="1">
        <f t="array" ref="E174">IF(ISNUMBER(SEARCH(".5",B174)),(E173+E175)/2,INDEX(Regen!$A$1:$Z$123,MATCH(ROUND(B174,0),Regen!$A:$A,0),Berechnung_Retention!$J$9))</f>
        <v>68.211809665000004</v>
      </c>
      <c r="F174" s="37">
        <f t="shared" si="13"/>
        <v>0</v>
      </c>
      <c r="G174" s="37">
        <f t="shared" si="14"/>
        <v>0</v>
      </c>
      <c r="H174" s="37">
        <f t="shared" si="15"/>
        <v>0</v>
      </c>
      <c r="I174" s="37">
        <f t="shared" si="16"/>
        <v>0</v>
      </c>
      <c r="L174" s="33"/>
      <c r="M174" s="38"/>
      <c r="N174" s="37"/>
      <c r="O174" s="37"/>
      <c r="P174" s="37"/>
      <c r="Q174" s="37"/>
      <c r="R174" s="37"/>
      <c r="S174" s="37"/>
      <c r="T174" s="35"/>
      <c r="U174" s="36"/>
      <c r="V174" s="35"/>
      <c r="AE174" s="7"/>
      <c r="AH174" s="7"/>
      <c r="AN174" s="7"/>
      <c r="AW174" s="7"/>
      <c r="AX174" s="7"/>
    </row>
    <row r="175" spans="2:50">
      <c r="B175" s="33">
        <f t="shared" si="17"/>
        <v>71</v>
      </c>
      <c r="C175" s="38">
        <f t="shared" si="12"/>
        <v>1.1833333333333333</v>
      </c>
      <c r="D175" s="37"/>
      <c r="E175" s="37" cm="1">
        <f t="array" ref="E175">IF(ISNUMBER(SEARCH(".5",B175)),(E174+E176)/2,INDEX(Regen!$A$1:$Z$123,MATCH(ROUND(B175,0),Regen!$A:$A,0),Berechnung_Retention!$J$9))</f>
        <v>67.844591820000005</v>
      </c>
      <c r="F175" s="37">
        <f t="shared" si="13"/>
        <v>0</v>
      </c>
      <c r="G175" s="37">
        <f t="shared" si="14"/>
        <v>0</v>
      </c>
      <c r="H175" s="37">
        <f t="shared" si="15"/>
        <v>0</v>
      </c>
      <c r="I175" s="37">
        <f t="shared" si="16"/>
        <v>0</v>
      </c>
      <c r="L175" s="33"/>
      <c r="M175" s="38"/>
      <c r="N175" s="37"/>
      <c r="O175" s="37"/>
      <c r="P175" s="37"/>
      <c r="Q175" s="37"/>
      <c r="R175" s="37"/>
      <c r="S175" s="37"/>
      <c r="T175" s="35"/>
      <c r="U175" s="36"/>
      <c r="V175" s="35"/>
      <c r="AE175" s="7"/>
      <c r="AH175" s="7"/>
      <c r="AN175" s="7"/>
      <c r="AW175" s="7"/>
      <c r="AX175" s="7"/>
    </row>
    <row r="176" spans="2:50">
      <c r="B176" s="33">
        <f t="shared" si="17"/>
        <v>71.5</v>
      </c>
      <c r="C176" s="38">
        <f t="shared" si="12"/>
        <v>1.1916666666666667</v>
      </c>
      <c r="D176" s="37"/>
      <c r="E176" s="37" cm="1">
        <f t="array" ref="E176">IF(ISNUMBER(SEARCH(".5",B176)),(E175+E177)/2,INDEX(Regen!$A$1:$Z$123,MATCH(ROUND(B176,0),Regen!$A:$A,0),Berechnung_Retention!$J$9))</f>
        <v>67.486676439999997</v>
      </c>
      <c r="F176" s="37">
        <f t="shared" si="13"/>
        <v>0</v>
      </c>
      <c r="G176" s="37">
        <f t="shared" si="14"/>
        <v>0</v>
      </c>
      <c r="H176" s="37">
        <f t="shared" si="15"/>
        <v>0</v>
      </c>
      <c r="I176" s="37">
        <f t="shared" si="16"/>
        <v>0</v>
      </c>
      <c r="L176" s="33"/>
      <c r="M176" s="38"/>
      <c r="N176" s="37"/>
      <c r="O176" s="37"/>
      <c r="P176" s="37"/>
      <c r="Q176" s="37"/>
      <c r="R176" s="37"/>
      <c r="S176" s="37"/>
      <c r="T176" s="35"/>
      <c r="U176" s="36"/>
      <c r="V176" s="35"/>
      <c r="AE176" s="7"/>
      <c r="AH176" s="7"/>
      <c r="AN176" s="7"/>
      <c r="AW176" s="7"/>
      <c r="AX176" s="7"/>
    </row>
    <row r="177" spans="2:50">
      <c r="B177" s="33">
        <f t="shared" si="17"/>
        <v>72</v>
      </c>
      <c r="C177" s="38">
        <f t="shared" si="12"/>
        <v>1.2</v>
      </c>
      <c r="D177" s="37"/>
      <c r="E177" s="37" cm="1">
        <f t="array" ref="E177">IF(ISNUMBER(SEARCH(".5",B177)),(E176+E178)/2,INDEX(Regen!$A$1:$Z$123,MATCH(ROUND(B177,0),Regen!$A:$A,0),Berechnung_Retention!$J$9))</f>
        <v>67.128761060000002</v>
      </c>
      <c r="F177" s="37">
        <f t="shared" si="13"/>
        <v>0</v>
      </c>
      <c r="G177" s="37">
        <f t="shared" si="14"/>
        <v>0</v>
      </c>
      <c r="H177" s="37">
        <f t="shared" si="15"/>
        <v>0</v>
      </c>
      <c r="I177" s="37">
        <f t="shared" si="16"/>
        <v>0</v>
      </c>
      <c r="L177" s="33"/>
      <c r="M177" s="38"/>
      <c r="N177" s="37"/>
      <c r="O177" s="37"/>
      <c r="P177" s="37"/>
      <c r="Q177" s="37"/>
      <c r="R177" s="37"/>
      <c r="S177" s="37"/>
      <c r="T177" s="35"/>
      <c r="U177" s="36"/>
      <c r="V177" s="35"/>
      <c r="AE177" s="7"/>
      <c r="AH177" s="7"/>
      <c r="AN177" s="7"/>
      <c r="AW177" s="7"/>
      <c r="AX177" s="7"/>
    </row>
    <row r="178" spans="2:50">
      <c r="B178" s="33">
        <f t="shared" si="17"/>
        <v>72.5</v>
      </c>
      <c r="C178" s="38">
        <f t="shared" si="12"/>
        <v>1.2083333333333333</v>
      </c>
      <c r="D178" s="37"/>
      <c r="E178" s="37" cm="1">
        <f t="array" ref="E178">IF(ISNUMBER(SEARCH(".5",B178)),(E177+E179)/2,INDEX(Regen!$A$1:$Z$123,MATCH(ROUND(B178,0),Regen!$A:$A,0),Berechnung_Retention!$J$9))</f>
        <v>66.779784895000006</v>
      </c>
      <c r="F178" s="37">
        <f t="shared" si="13"/>
        <v>0</v>
      </c>
      <c r="G178" s="37">
        <f t="shared" si="14"/>
        <v>0</v>
      </c>
      <c r="H178" s="37">
        <f t="shared" si="15"/>
        <v>0</v>
      </c>
      <c r="I178" s="37">
        <f t="shared" si="16"/>
        <v>0</v>
      </c>
      <c r="L178" s="33"/>
      <c r="M178" s="38"/>
      <c r="N178" s="37"/>
      <c r="O178" s="37"/>
      <c r="P178" s="37"/>
      <c r="Q178" s="37"/>
      <c r="R178" s="37"/>
      <c r="S178" s="37"/>
      <c r="T178" s="35"/>
      <c r="U178" s="36"/>
      <c r="V178" s="35"/>
      <c r="AE178" s="7"/>
      <c r="AH178" s="7"/>
      <c r="AN178" s="7"/>
      <c r="AW178" s="7"/>
      <c r="AX178" s="7"/>
    </row>
    <row r="179" spans="2:50">
      <c r="B179" s="33">
        <f t="shared" si="17"/>
        <v>73</v>
      </c>
      <c r="C179" s="38">
        <f t="shared" si="12"/>
        <v>1.2166666666666666</v>
      </c>
      <c r="D179" s="37"/>
      <c r="E179" s="37" cm="1">
        <f t="array" ref="E179">IF(ISNUMBER(SEARCH(".5",B179)),(E178+E180)/2,INDEX(Regen!$A$1:$Z$123,MATCH(ROUND(B179,0),Regen!$A:$A,0),Berechnung_Retention!$J$9))</f>
        <v>66.430808729999995</v>
      </c>
      <c r="F179" s="37">
        <f t="shared" si="13"/>
        <v>0</v>
      </c>
      <c r="G179" s="37">
        <f t="shared" si="14"/>
        <v>0</v>
      </c>
      <c r="H179" s="37">
        <f t="shared" si="15"/>
        <v>0</v>
      </c>
      <c r="I179" s="37">
        <f t="shared" si="16"/>
        <v>0</v>
      </c>
      <c r="L179" s="33"/>
      <c r="M179" s="38"/>
      <c r="N179" s="37"/>
      <c r="O179" s="37"/>
      <c r="P179" s="37"/>
      <c r="Q179" s="37"/>
      <c r="R179" s="37"/>
      <c r="S179" s="37"/>
      <c r="T179" s="35"/>
      <c r="U179" s="36"/>
      <c r="V179" s="35"/>
      <c r="AE179" s="7"/>
      <c r="AH179" s="7"/>
      <c r="AN179" s="7"/>
      <c r="AW179" s="7"/>
      <c r="AX179" s="7"/>
    </row>
    <row r="180" spans="2:50">
      <c r="B180" s="33">
        <f t="shared" si="17"/>
        <v>73.5</v>
      </c>
      <c r="C180" s="38">
        <f t="shared" si="12"/>
        <v>1.2250000000000001</v>
      </c>
      <c r="D180" s="37"/>
      <c r="E180" s="37" cm="1">
        <f t="array" ref="E180">IF(ISNUMBER(SEARCH(".5",B180)),(E179+E181)/2,INDEX(Regen!$A$1:$Z$123,MATCH(ROUND(B180,0),Regen!$A:$A,0),Berechnung_Retention!$J$9))</f>
        <v>66.090427519999992</v>
      </c>
      <c r="F180" s="37">
        <f t="shared" si="13"/>
        <v>0</v>
      </c>
      <c r="G180" s="37">
        <f t="shared" si="14"/>
        <v>0</v>
      </c>
      <c r="H180" s="37">
        <f t="shared" si="15"/>
        <v>0</v>
      </c>
      <c r="I180" s="37">
        <f t="shared" si="16"/>
        <v>0</v>
      </c>
      <c r="L180" s="33"/>
      <c r="M180" s="38"/>
      <c r="N180" s="37"/>
      <c r="O180" s="37"/>
      <c r="P180" s="37"/>
      <c r="Q180" s="37"/>
      <c r="R180" s="37"/>
      <c r="S180" s="37"/>
      <c r="T180" s="35"/>
      <c r="U180" s="36"/>
      <c r="V180" s="35"/>
      <c r="AE180" s="7"/>
      <c r="AH180" s="7"/>
      <c r="AN180" s="7"/>
      <c r="AW180" s="7"/>
      <c r="AX180" s="7"/>
    </row>
    <row r="181" spans="2:50">
      <c r="B181" s="33">
        <f t="shared" si="17"/>
        <v>74</v>
      </c>
      <c r="C181" s="38">
        <f t="shared" si="12"/>
        <v>1.2333333333333334</v>
      </c>
      <c r="D181" s="37"/>
      <c r="E181" s="37" cm="1">
        <f t="array" ref="E181">IF(ISNUMBER(SEARCH(".5",B181)),(E180+E182)/2,INDEX(Regen!$A$1:$Z$123,MATCH(ROUND(B181,0),Regen!$A:$A,0),Berechnung_Retention!$J$9))</f>
        <v>65.750046310000002</v>
      </c>
      <c r="F181" s="37">
        <f t="shared" si="13"/>
        <v>0</v>
      </c>
      <c r="G181" s="37">
        <f t="shared" si="14"/>
        <v>0</v>
      </c>
      <c r="H181" s="37">
        <f t="shared" si="15"/>
        <v>0</v>
      </c>
      <c r="I181" s="37">
        <f t="shared" si="16"/>
        <v>0</v>
      </c>
      <c r="L181" s="33"/>
      <c r="M181" s="38"/>
      <c r="N181" s="37"/>
      <c r="O181" s="37"/>
      <c r="P181" s="37"/>
      <c r="Q181" s="37"/>
      <c r="R181" s="37"/>
      <c r="S181" s="37"/>
      <c r="T181" s="35"/>
      <c r="U181" s="36"/>
      <c r="V181" s="35"/>
      <c r="AE181" s="7"/>
      <c r="AH181" s="7"/>
      <c r="AN181" s="7"/>
      <c r="AW181" s="7"/>
      <c r="AX181" s="7"/>
    </row>
    <row r="182" spans="2:50">
      <c r="B182" s="33">
        <f t="shared" si="17"/>
        <v>74.5</v>
      </c>
      <c r="C182" s="38">
        <f t="shared" si="12"/>
        <v>1.2416666666666667</v>
      </c>
      <c r="D182" s="37"/>
      <c r="E182" s="37" cm="1">
        <f t="array" ref="E182">IF(ISNUMBER(SEARCH(".5",B182)),(E181+E183)/2,INDEX(Regen!$A$1:$Z$123,MATCH(ROUND(B182,0),Regen!$A:$A,0),Berechnung_Retention!$J$9))</f>
        <v>65.417933524999995</v>
      </c>
      <c r="F182" s="37">
        <f t="shared" si="13"/>
        <v>0</v>
      </c>
      <c r="G182" s="37">
        <f t="shared" si="14"/>
        <v>0</v>
      </c>
      <c r="H182" s="37">
        <f t="shared" si="15"/>
        <v>0</v>
      </c>
      <c r="I182" s="37">
        <f t="shared" si="16"/>
        <v>0</v>
      </c>
      <c r="L182" s="33"/>
      <c r="M182" s="38"/>
      <c r="N182" s="37"/>
      <c r="O182" s="37"/>
      <c r="P182" s="37"/>
      <c r="Q182" s="37"/>
      <c r="R182" s="37"/>
      <c r="S182" s="37"/>
      <c r="T182" s="35"/>
      <c r="U182" s="36"/>
      <c r="V182" s="35"/>
      <c r="AE182" s="7"/>
      <c r="AH182" s="7"/>
      <c r="AN182" s="7"/>
      <c r="AW182" s="7"/>
      <c r="AX182" s="7"/>
    </row>
    <row r="183" spans="2:50">
      <c r="B183" s="33">
        <f t="shared" si="17"/>
        <v>75</v>
      </c>
      <c r="C183" s="38">
        <f t="shared" si="12"/>
        <v>1.25</v>
      </c>
      <c r="D183" s="37"/>
      <c r="E183" s="37" cm="1">
        <f t="array" ref="E183">IF(ISNUMBER(SEARCH(".5",B183)),(E182+E184)/2,INDEX(Regen!$A$1:$Z$123,MATCH(ROUND(B183,0),Regen!$A:$A,0),Berechnung_Retention!$J$9))</f>
        <v>65.085820740000003</v>
      </c>
      <c r="F183" s="37">
        <f t="shared" si="13"/>
        <v>0</v>
      </c>
      <c r="G183" s="37">
        <f t="shared" si="14"/>
        <v>0</v>
      </c>
      <c r="H183" s="37">
        <f t="shared" si="15"/>
        <v>0</v>
      </c>
      <c r="I183" s="37">
        <f t="shared" si="16"/>
        <v>0</v>
      </c>
      <c r="L183" s="33"/>
      <c r="M183" s="38"/>
      <c r="N183" s="37"/>
      <c r="O183" s="37"/>
      <c r="P183" s="37"/>
      <c r="Q183" s="37"/>
      <c r="R183" s="37"/>
      <c r="S183" s="37"/>
      <c r="T183" s="35"/>
      <c r="U183" s="36"/>
      <c r="V183" s="35"/>
      <c r="AE183" s="7"/>
      <c r="AH183" s="7"/>
      <c r="AN183" s="7"/>
      <c r="AW183" s="7"/>
      <c r="AX183" s="7"/>
    </row>
    <row r="184" spans="2:50">
      <c r="B184" s="33">
        <f t="shared" si="17"/>
        <v>75.5</v>
      </c>
      <c r="C184" s="38">
        <f t="shared" si="12"/>
        <v>1.2583333333333333</v>
      </c>
      <c r="D184" s="37"/>
      <c r="E184" s="37" cm="1">
        <f t="array" ref="E184">IF(ISNUMBER(SEARCH(".5",B184)),(E183+E185)/2,INDEX(Regen!$A$1:$Z$123,MATCH(ROUND(B184,0),Regen!$A:$A,0),Berechnung_Retention!$J$9))</f>
        <v>64.761666480000002</v>
      </c>
      <c r="F184" s="37">
        <f t="shared" si="13"/>
        <v>0</v>
      </c>
      <c r="G184" s="37">
        <f t="shared" si="14"/>
        <v>0</v>
      </c>
      <c r="H184" s="37">
        <f t="shared" si="15"/>
        <v>0</v>
      </c>
      <c r="I184" s="37">
        <f t="shared" si="16"/>
        <v>0</v>
      </c>
      <c r="L184" s="33"/>
      <c r="M184" s="38"/>
      <c r="N184" s="37"/>
      <c r="O184" s="37"/>
      <c r="P184" s="37"/>
      <c r="Q184" s="37"/>
      <c r="R184" s="37"/>
      <c r="S184" s="37"/>
      <c r="T184" s="35"/>
      <c r="U184" s="36"/>
      <c r="V184" s="35"/>
      <c r="AE184" s="7"/>
      <c r="AH184" s="7"/>
      <c r="AN184" s="7"/>
      <c r="AW184" s="7"/>
      <c r="AX184" s="7"/>
    </row>
    <row r="185" spans="2:50">
      <c r="B185" s="33">
        <f t="shared" si="17"/>
        <v>76</v>
      </c>
      <c r="C185" s="38">
        <f t="shared" si="12"/>
        <v>1.2666666666666666</v>
      </c>
      <c r="D185" s="37"/>
      <c r="E185" s="37" cm="1">
        <f t="array" ref="E185">IF(ISNUMBER(SEARCH(".5",B185)),(E184+E186)/2,INDEX(Regen!$A$1:$Z$123,MATCH(ROUND(B185,0),Regen!$A:$A,0),Berechnung_Retention!$J$9))</f>
        <v>64.437512220000002</v>
      </c>
      <c r="F185" s="37">
        <f t="shared" si="13"/>
        <v>0</v>
      </c>
      <c r="G185" s="37">
        <f t="shared" si="14"/>
        <v>0</v>
      </c>
      <c r="H185" s="37">
        <f t="shared" si="15"/>
        <v>0</v>
      </c>
      <c r="I185" s="37">
        <f t="shared" si="16"/>
        <v>0</v>
      </c>
      <c r="L185" s="33"/>
      <c r="M185" s="38"/>
      <c r="N185" s="37"/>
      <c r="O185" s="37"/>
      <c r="P185" s="37"/>
      <c r="Q185" s="37"/>
      <c r="R185" s="37"/>
      <c r="S185" s="37"/>
      <c r="T185" s="35"/>
      <c r="U185" s="36"/>
      <c r="V185" s="35"/>
      <c r="AE185" s="7"/>
      <c r="AH185" s="7"/>
      <c r="AN185" s="7"/>
      <c r="AW185" s="7"/>
      <c r="AX185" s="7"/>
    </row>
    <row r="186" spans="2:50">
      <c r="B186" s="33">
        <f t="shared" si="17"/>
        <v>76.5</v>
      </c>
      <c r="C186" s="38">
        <f t="shared" si="12"/>
        <v>1.2749999999999999</v>
      </c>
      <c r="D186" s="37"/>
      <c r="E186" s="37" cm="1">
        <f t="array" ref="E186">IF(ISNUMBER(SEARCH(".5",B186)),(E185+E187)/2,INDEX(Regen!$A$1:$Z$123,MATCH(ROUND(B186,0),Regen!$A:$A,0),Berechnung_Retention!$J$9))</f>
        <v>64.121022124999996</v>
      </c>
      <c r="F186" s="37">
        <f t="shared" si="13"/>
        <v>0</v>
      </c>
      <c r="G186" s="37">
        <f t="shared" si="14"/>
        <v>0</v>
      </c>
      <c r="H186" s="37">
        <f t="shared" si="15"/>
        <v>0</v>
      </c>
      <c r="I186" s="37">
        <f t="shared" si="16"/>
        <v>0</v>
      </c>
      <c r="L186" s="33"/>
      <c r="M186" s="38"/>
      <c r="N186" s="37"/>
      <c r="O186" s="37"/>
      <c r="P186" s="37"/>
      <c r="Q186" s="37"/>
      <c r="R186" s="37"/>
      <c r="S186" s="37"/>
      <c r="T186" s="35"/>
      <c r="U186" s="36"/>
      <c r="V186" s="35"/>
      <c r="AE186" s="7"/>
      <c r="AH186" s="7"/>
      <c r="AN186" s="7"/>
      <c r="AW186" s="7"/>
      <c r="AX186" s="7"/>
    </row>
    <row r="187" spans="2:50">
      <c r="B187" s="33">
        <f t="shared" si="17"/>
        <v>77</v>
      </c>
      <c r="C187" s="38">
        <f t="shared" si="12"/>
        <v>1.2833333333333334</v>
      </c>
      <c r="D187" s="37"/>
      <c r="E187" s="37" cm="1">
        <f t="array" ref="E187">IF(ISNUMBER(SEARCH(".5",B187)),(E186+E188)/2,INDEX(Regen!$A$1:$Z$123,MATCH(ROUND(B187,0),Regen!$A:$A,0),Berechnung_Retention!$J$9))</f>
        <v>63.804532029999997</v>
      </c>
      <c r="F187" s="37">
        <f t="shared" si="13"/>
        <v>0</v>
      </c>
      <c r="G187" s="37">
        <f t="shared" si="14"/>
        <v>0</v>
      </c>
      <c r="H187" s="37">
        <f t="shared" si="15"/>
        <v>0</v>
      </c>
      <c r="I187" s="37">
        <f t="shared" si="16"/>
        <v>0</v>
      </c>
      <c r="L187" s="33"/>
      <c r="M187" s="38"/>
      <c r="N187" s="37"/>
      <c r="O187" s="37"/>
      <c r="P187" s="37"/>
      <c r="Q187" s="37"/>
      <c r="R187" s="37"/>
      <c r="S187" s="37"/>
      <c r="T187" s="35"/>
      <c r="U187" s="36"/>
      <c r="V187" s="35"/>
      <c r="AE187" s="7"/>
      <c r="AH187" s="7"/>
      <c r="AN187" s="7"/>
      <c r="AW187" s="7"/>
      <c r="AX187" s="7"/>
    </row>
    <row r="188" spans="2:50">
      <c r="B188" s="33">
        <f t="shared" si="17"/>
        <v>77.5</v>
      </c>
      <c r="C188" s="38">
        <f t="shared" si="12"/>
        <v>1.2916666666666667</v>
      </c>
      <c r="D188" s="37"/>
      <c r="E188" s="37" cm="1">
        <f t="array" ref="E188">IF(ISNUMBER(SEARCH(".5",B188)),(E187+E189)/2,INDEX(Regen!$A$1:$Z$123,MATCH(ROUND(B188,0),Regen!$A:$A,0),Berechnung_Retention!$J$9))</f>
        <v>63.495426330000001</v>
      </c>
      <c r="F188" s="37">
        <f t="shared" si="13"/>
        <v>0</v>
      </c>
      <c r="G188" s="37">
        <f t="shared" si="14"/>
        <v>0</v>
      </c>
      <c r="H188" s="37">
        <f t="shared" si="15"/>
        <v>0</v>
      </c>
      <c r="I188" s="37">
        <f t="shared" si="16"/>
        <v>0</v>
      </c>
      <c r="L188" s="33"/>
      <c r="M188" s="38"/>
      <c r="N188" s="37"/>
      <c r="O188" s="37"/>
      <c r="P188" s="37"/>
      <c r="Q188" s="37"/>
      <c r="R188" s="37"/>
      <c r="S188" s="37"/>
      <c r="T188" s="35"/>
      <c r="U188" s="36"/>
      <c r="V188" s="35"/>
      <c r="AE188" s="7"/>
      <c r="AH188" s="7"/>
      <c r="AN188" s="7"/>
      <c r="AW188" s="7"/>
      <c r="AX188" s="7"/>
    </row>
    <row r="189" spans="2:50">
      <c r="B189" s="33">
        <f t="shared" si="17"/>
        <v>78</v>
      </c>
      <c r="C189" s="38">
        <f t="shared" si="12"/>
        <v>1.3</v>
      </c>
      <c r="D189" s="37"/>
      <c r="E189" s="37" cm="1">
        <f t="array" ref="E189">IF(ISNUMBER(SEARCH(".5",B189)),(E188+E190)/2,INDEX(Regen!$A$1:$Z$123,MATCH(ROUND(B189,0),Regen!$A:$A,0),Berechnung_Retention!$J$9))</f>
        <v>63.186320629999997</v>
      </c>
      <c r="F189" s="37">
        <f t="shared" si="13"/>
        <v>0</v>
      </c>
      <c r="G189" s="37">
        <f t="shared" si="14"/>
        <v>0</v>
      </c>
      <c r="H189" s="37">
        <f t="shared" si="15"/>
        <v>0</v>
      </c>
      <c r="I189" s="37">
        <f t="shared" si="16"/>
        <v>0</v>
      </c>
      <c r="L189" s="33"/>
      <c r="M189" s="38"/>
      <c r="N189" s="37"/>
      <c r="O189" s="37"/>
      <c r="P189" s="37"/>
      <c r="Q189" s="37"/>
      <c r="R189" s="37"/>
      <c r="S189" s="37"/>
      <c r="T189" s="35"/>
      <c r="U189" s="36"/>
      <c r="V189" s="35"/>
      <c r="AE189" s="7"/>
      <c r="AH189" s="7"/>
      <c r="AN189" s="7"/>
      <c r="AW189" s="7"/>
      <c r="AX189" s="7"/>
    </row>
    <row r="190" spans="2:50">
      <c r="B190" s="33">
        <f t="shared" si="17"/>
        <v>78.5</v>
      </c>
      <c r="C190" s="38">
        <f t="shared" si="12"/>
        <v>1.3083333333333333</v>
      </c>
      <c r="D190" s="37"/>
      <c r="E190" s="37" cm="1">
        <f t="array" ref="E190">IF(ISNUMBER(SEARCH(".5",B190)),(E189+E191)/2,INDEX(Regen!$A$1:$Z$123,MATCH(ROUND(B190,0),Regen!$A:$A,0),Berechnung_Retention!$J$9))</f>
        <v>62.884333229999996</v>
      </c>
      <c r="F190" s="37">
        <f t="shared" si="13"/>
        <v>0</v>
      </c>
      <c r="G190" s="37">
        <f t="shared" si="14"/>
        <v>0</v>
      </c>
      <c r="H190" s="37">
        <f t="shared" si="15"/>
        <v>0</v>
      </c>
      <c r="I190" s="37">
        <f t="shared" si="16"/>
        <v>0</v>
      </c>
      <c r="L190" s="33"/>
      <c r="M190" s="38"/>
      <c r="N190" s="37"/>
      <c r="O190" s="37"/>
      <c r="P190" s="37"/>
      <c r="Q190" s="37"/>
      <c r="R190" s="37"/>
      <c r="S190" s="37"/>
      <c r="T190" s="35"/>
      <c r="U190" s="36"/>
      <c r="V190" s="35"/>
      <c r="AE190" s="7"/>
      <c r="AH190" s="7"/>
      <c r="AN190" s="7"/>
      <c r="AW190" s="7"/>
      <c r="AX190" s="7"/>
    </row>
    <row r="191" spans="2:50">
      <c r="B191" s="33">
        <f t="shared" si="17"/>
        <v>79</v>
      </c>
      <c r="C191" s="38">
        <f t="shared" si="12"/>
        <v>1.3166666666666667</v>
      </c>
      <c r="D191" s="37"/>
      <c r="E191" s="37" cm="1">
        <f t="array" ref="E191">IF(ISNUMBER(SEARCH(".5",B191)),(E190+E192)/2,INDEX(Regen!$A$1:$Z$123,MATCH(ROUND(B191,0),Regen!$A:$A,0),Berechnung_Retention!$J$9))</f>
        <v>62.582345830000001</v>
      </c>
      <c r="F191" s="37">
        <f t="shared" si="13"/>
        <v>0</v>
      </c>
      <c r="G191" s="37">
        <f t="shared" si="14"/>
        <v>0</v>
      </c>
      <c r="H191" s="37">
        <f t="shared" si="15"/>
        <v>0</v>
      </c>
      <c r="I191" s="37">
        <f t="shared" si="16"/>
        <v>0</v>
      </c>
      <c r="L191" s="33"/>
      <c r="M191" s="38"/>
      <c r="N191" s="37"/>
      <c r="O191" s="37"/>
      <c r="P191" s="37"/>
      <c r="Q191" s="37"/>
      <c r="R191" s="37"/>
      <c r="S191" s="37"/>
      <c r="T191" s="35"/>
      <c r="U191" s="36"/>
      <c r="V191" s="35"/>
      <c r="AE191" s="7"/>
      <c r="AH191" s="7"/>
      <c r="AN191" s="7"/>
      <c r="AW191" s="7"/>
      <c r="AX191" s="7"/>
    </row>
    <row r="192" spans="2:50">
      <c r="B192" s="33">
        <f t="shared" si="17"/>
        <v>79.5</v>
      </c>
      <c r="C192" s="38">
        <f t="shared" si="12"/>
        <v>1.325</v>
      </c>
      <c r="D192" s="37"/>
      <c r="E192" s="37" cm="1">
        <f t="array" ref="E192">IF(ISNUMBER(SEARCH(".5",B192)),(E191+E193)/2,INDEX(Regen!$A$1:$Z$123,MATCH(ROUND(B192,0),Regen!$A:$A,0),Berechnung_Retention!$J$9))</f>
        <v>62.287223490000002</v>
      </c>
      <c r="F192" s="37">
        <f t="shared" si="13"/>
        <v>0</v>
      </c>
      <c r="G192" s="37">
        <f t="shared" si="14"/>
        <v>0</v>
      </c>
      <c r="H192" s="37">
        <f t="shared" si="15"/>
        <v>0</v>
      </c>
      <c r="I192" s="37">
        <f t="shared" si="16"/>
        <v>0</v>
      </c>
      <c r="L192" s="33"/>
      <c r="M192" s="38"/>
      <c r="N192" s="37"/>
      <c r="O192" s="37"/>
      <c r="P192" s="37"/>
      <c r="Q192" s="37"/>
      <c r="R192" s="37"/>
      <c r="S192" s="37"/>
      <c r="T192" s="35"/>
      <c r="U192" s="36"/>
      <c r="V192" s="35"/>
      <c r="AE192" s="7"/>
      <c r="AH192" s="7"/>
      <c r="AN192" s="7"/>
      <c r="AW192" s="7"/>
      <c r="AX192" s="7"/>
    </row>
    <row r="193" spans="1:50">
      <c r="B193" s="33">
        <f t="shared" si="17"/>
        <v>80</v>
      </c>
      <c r="C193" s="38">
        <f t="shared" si="12"/>
        <v>1.3333333333333333</v>
      </c>
      <c r="D193" s="37"/>
      <c r="E193" s="37" cm="1">
        <f t="array" ref="E193">IF(ISNUMBER(SEARCH(".5",B193)),(E192+E194)/2,INDEX(Regen!$A$1:$Z$123,MATCH(ROUND(B193,0),Regen!$A:$A,0),Berechnung_Retention!$J$9))</f>
        <v>61.992101150000003</v>
      </c>
      <c r="F193" s="37">
        <f t="shared" si="13"/>
        <v>0</v>
      </c>
      <c r="G193" s="37">
        <f t="shared" si="14"/>
        <v>0</v>
      </c>
      <c r="H193" s="37">
        <f t="shared" si="15"/>
        <v>0</v>
      </c>
      <c r="I193" s="37">
        <f t="shared" si="16"/>
        <v>0</v>
      </c>
      <c r="L193" s="33"/>
      <c r="M193" s="38"/>
      <c r="N193" s="37"/>
      <c r="O193" s="37"/>
      <c r="P193" s="37"/>
      <c r="Q193" s="37"/>
      <c r="R193" s="37"/>
      <c r="S193" s="37"/>
      <c r="T193" s="35"/>
      <c r="U193" s="36"/>
      <c r="V193" s="35"/>
      <c r="AE193" s="7"/>
      <c r="AH193" s="7"/>
      <c r="AN193" s="7"/>
      <c r="AW193" s="7"/>
      <c r="AX193" s="7"/>
    </row>
    <row r="194" spans="1:50">
      <c r="B194" s="33">
        <f t="shared" si="17"/>
        <v>80.5</v>
      </c>
      <c r="C194" s="38">
        <f t="shared" si="12"/>
        <v>1.3416666666666666</v>
      </c>
      <c r="D194" s="37"/>
      <c r="E194" s="37" cm="1">
        <f t="array" ref="E194">IF(ISNUMBER(SEARCH(".5",B194)),(E193+E195)/2,INDEX(Regen!$A$1:$Z$123,MATCH(ROUND(B194,0),Regen!$A:$A,0),Berechnung_Retention!$J$9))</f>
        <v>61.703602715000002</v>
      </c>
      <c r="F194" s="37">
        <f t="shared" si="13"/>
        <v>0</v>
      </c>
      <c r="G194" s="37">
        <f t="shared" si="14"/>
        <v>0</v>
      </c>
      <c r="H194" s="37">
        <f t="shared" si="15"/>
        <v>0</v>
      </c>
      <c r="I194" s="37">
        <f t="shared" si="16"/>
        <v>0</v>
      </c>
      <c r="L194" s="33"/>
      <c r="M194" s="38"/>
      <c r="N194" s="37"/>
      <c r="O194" s="37"/>
      <c r="P194" s="37"/>
      <c r="Q194" s="37"/>
      <c r="R194" s="37"/>
      <c r="S194" s="37"/>
      <c r="T194" s="35"/>
      <c r="U194" s="36"/>
      <c r="V194" s="35"/>
      <c r="AE194" s="7"/>
      <c r="AH194" s="7"/>
      <c r="AN194" s="7"/>
      <c r="AW194" s="7"/>
      <c r="AX194" s="7"/>
    </row>
    <row r="195" spans="1:50">
      <c r="B195" s="33">
        <f t="shared" si="17"/>
        <v>81</v>
      </c>
      <c r="C195" s="38">
        <f t="shared" si="12"/>
        <v>1.35</v>
      </c>
      <c r="D195" s="37"/>
      <c r="E195" s="37" cm="1">
        <f t="array" ref="E195">IF(ISNUMBER(SEARCH(".5",B195)),(E194+E196)/2,INDEX(Regen!$A$1:$Z$123,MATCH(ROUND(B195,0),Regen!$A:$A,0),Berechnung_Retention!$J$9))</f>
        <v>61.415104280000001</v>
      </c>
      <c r="F195" s="37">
        <f t="shared" si="13"/>
        <v>0</v>
      </c>
      <c r="G195" s="37">
        <f t="shared" si="14"/>
        <v>0</v>
      </c>
      <c r="H195" s="37">
        <f t="shared" si="15"/>
        <v>0</v>
      </c>
      <c r="I195" s="37">
        <f t="shared" si="16"/>
        <v>0</v>
      </c>
      <c r="L195" s="33"/>
      <c r="M195" s="38"/>
      <c r="N195" s="37"/>
      <c r="O195" s="37"/>
      <c r="P195" s="37"/>
      <c r="Q195" s="37"/>
      <c r="R195" s="37"/>
      <c r="S195" s="37"/>
      <c r="T195" s="35"/>
      <c r="U195" s="36"/>
      <c r="V195" s="35"/>
      <c r="AE195" s="7"/>
      <c r="AH195" s="7"/>
      <c r="AN195" s="7"/>
      <c r="AW195" s="7"/>
      <c r="AX195" s="7"/>
    </row>
    <row r="196" spans="1:50">
      <c r="B196" s="33">
        <f t="shared" si="17"/>
        <v>81.5</v>
      </c>
      <c r="C196" s="38">
        <f t="shared" si="12"/>
        <v>1.3583333333333334</v>
      </c>
      <c r="D196" s="37"/>
      <c r="E196" s="37" cm="1">
        <f t="array" ref="E196">IF(ISNUMBER(SEARCH(".5",B196)),(E195+E197)/2,INDEX(Regen!$A$1:$Z$123,MATCH(ROUND(B196,0),Regen!$A:$A,0),Berechnung_Retention!$J$9))</f>
        <v>61.132999929999997</v>
      </c>
      <c r="F196" s="37">
        <f t="shared" si="13"/>
        <v>0</v>
      </c>
      <c r="G196" s="37">
        <f t="shared" si="14"/>
        <v>0</v>
      </c>
      <c r="H196" s="37">
        <f t="shared" si="15"/>
        <v>0</v>
      </c>
      <c r="I196" s="37">
        <f t="shared" si="16"/>
        <v>0</v>
      </c>
      <c r="L196" s="33"/>
      <c r="M196" s="38"/>
      <c r="N196" s="37"/>
      <c r="O196" s="37"/>
      <c r="P196" s="37"/>
      <c r="Q196" s="37"/>
      <c r="R196" s="37"/>
      <c r="S196" s="37"/>
      <c r="T196" s="35"/>
      <c r="U196" s="36"/>
      <c r="V196" s="35"/>
      <c r="AE196" s="7"/>
      <c r="AH196" s="7"/>
      <c r="AN196" s="7"/>
      <c r="AW196" s="7"/>
      <c r="AX196" s="7"/>
    </row>
    <row r="197" spans="1:50">
      <c r="A197" s="7"/>
      <c r="B197" s="33">
        <f t="shared" si="17"/>
        <v>82</v>
      </c>
      <c r="C197" s="38">
        <f t="shared" si="12"/>
        <v>1.3666666666666667</v>
      </c>
      <c r="D197" s="37"/>
      <c r="E197" s="37" cm="1">
        <f t="array" ref="E197">IF(ISNUMBER(SEARCH(".5",B197)),(E196+E198)/2,INDEX(Regen!$A$1:$Z$123,MATCH(ROUND(B197,0),Regen!$A:$A,0),Berechnung_Retention!$J$9))</f>
        <v>60.85089558</v>
      </c>
      <c r="F197" s="37">
        <f t="shared" si="13"/>
        <v>0</v>
      </c>
      <c r="G197" s="37">
        <f t="shared" si="14"/>
        <v>0</v>
      </c>
      <c r="H197" s="37">
        <f t="shared" si="15"/>
        <v>0</v>
      </c>
      <c r="I197" s="37">
        <f t="shared" si="16"/>
        <v>0</v>
      </c>
      <c r="L197" s="33"/>
      <c r="M197" s="38"/>
      <c r="N197" s="37"/>
      <c r="O197" s="37"/>
      <c r="P197" s="37"/>
      <c r="Q197" s="37"/>
      <c r="R197" s="37"/>
      <c r="S197" s="37"/>
      <c r="T197" s="35"/>
      <c r="U197" s="36"/>
      <c r="V197" s="35"/>
      <c r="AE197" s="7"/>
      <c r="AH197" s="7"/>
      <c r="AN197" s="7"/>
    </row>
    <row r="198" spans="1:50">
      <c r="A198" s="7"/>
      <c r="B198" s="33">
        <f t="shared" si="17"/>
        <v>82.5</v>
      </c>
      <c r="C198" s="38">
        <f t="shared" si="12"/>
        <v>1.375</v>
      </c>
      <c r="D198" s="37"/>
      <c r="E198" s="37" cm="1">
        <f t="array" ref="E198">IF(ISNUMBER(SEARCH(".5",B198)),(E197+E199)/2,INDEX(Regen!$A$1:$Z$123,MATCH(ROUND(B198,0),Regen!$A:$A,0),Berechnung_Retention!$J$9))</f>
        <v>60.574966215000003</v>
      </c>
      <c r="F198" s="37">
        <f t="shared" si="13"/>
        <v>0</v>
      </c>
      <c r="G198" s="37">
        <f t="shared" si="14"/>
        <v>0</v>
      </c>
      <c r="H198" s="37">
        <f t="shared" si="15"/>
        <v>0</v>
      </c>
      <c r="I198" s="37">
        <f t="shared" si="16"/>
        <v>0</v>
      </c>
      <c r="L198" s="33"/>
      <c r="M198" s="38"/>
      <c r="N198" s="37"/>
      <c r="O198" s="37"/>
      <c r="P198" s="37"/>
      <c r="Q198" s="37"/>
      <c r="R198" s="37"/>
      <c r="S198" s="37"/>
      <c r="T198" s="35"/>
      <c r="U198" s="36"/>
      <c r="V198" s="35"/>
      <c r="AE198" s="7"/>
      <c r="AH198" s="7"/>
      <c r="AN198" s="7"/>
    </row>
    <row r="199" spans="1:50">
      <c r="A199" s="7"/>
      <c r="B199" s="33">
        <f t="shared" si="17"/>
        <v>83</v>
      </c>
      <c r="C199" s="38">
        <f t="shared" si="12"/>
        <v>1.3833333333333333</v>
      </c>
      <c r="D199" s="37"/>
      <c r="E199" s="37" cm="1">
        <f t="array" ref="E199">IF(ISNUMBER(SEARCH(".5",B199)),(E198+E200)/2,INDEX(Regen!$A$1:$Z$123,MATCH(ROUND(B199,0),Regen!$A:$A,0),Berechnung_Retention!$J$9))</f>
        <v>60.29903685</v>
      </c>
      <c r="F199" s="37">
        <f t="shared" si="13"/>
        <v>0</v>
      </c>
      <c r="G199" s="37">
        <f t="shared" si="14"/>
        <v>0</v>
      </c>
      <c r="H199" s="37">
        <f t="shared" si="15"/>
        <v>0</v>
      </c>
      <c r="I199" s="37">
        <f t="shared" si="16"/>
        <v>0</v>
      </c>
      <c r="L199" s="33"/>
      <c r="M199" s="38"/>
      <c r="N199" s="37"/>
      <c r="O199" s="37"/>
      <c r="P199" s="37"/>
      <c r="Q199" s="37"/>
      <c r="R199" s="37"/>
      <c r="S199" s="37"/>
      <c r="T199" s="35"/>
      <c r="U199" s="36"/>
      <c r="V199" s="35"/>
      <c r="AE199" s="7"/>
      <c r="AH199" s="7"/>
      <c r="AN199" s="7"/>
    </row>
    <row r="200" spans="1:50">
      <c r="A200" s="7"/>
      <c r="B200" s="33">
        <f t="shared" si="17"/>
        <v>83.5</v>
      </c>
      <c r="C200" s="38">
        <f t="shared" si="12"/>
        <v>1.3916666666666666</v>
      </c>
      <c r="D200" s="37"/>
      <c r="E200" s="37" cm="1">
        <f t="array" ref="E200">IF(ISNUMBER(SEARCH(".5",B200)),(E199+E201)/2,INDEX(Regen!$A$1:$Z$123,MATCH(ROUND(B200,0),Regen!$A:$A,0),Berechnung_Retention!$J$9))</f>
        <v>60.029073409999995</v>
      </c>
      <c r="F200" s="37">
        <f t="shared" si="13"/>
        <v>0</v>
      </c>
      <c r="G200" s="37">
        <f t="shared" si="14"/>
        <v>0</v>
      </c>
      <c r="H200" s="37">
        <f t="shared" si="15"/>
        <v>0</v>
      </c>
      <c r="I200" s="37">
        <f t="shared" si="16"/>
        <v>0</v>
      </c>
      <c r="L200" s="33"/>
      <c r="M200" s="38"/>
      <c r="N200" s="37"/>
      <c r="O200" s="37"/>
      <c r="P200" s="37"/>
      <c r="Q200" s="37"/>
      <c r="R200" s="37"/>
      <c r="S200" s="37"/>
      <c r="T200" s="35"/>
      <c r="U200" s="36"/>
      <c r="V200" s="35"/>
      <c r="AE200" s="7"/>
      <c r="AH200" s="7"/>
      <c r="AN200" s="7"/>
    </row>
    <row r="201" spans="1:50">
      <c r="A201" s="7"/>
      <c r="B201" s="33">
        <f t="shared" si="17"/>
        <v>84</v>
      </c>
      <c r="C201" s="38">
        <f t="shared" si="12"/>
        <v>1.4</v>
      </c>
      <c r="D201" s="37"/>
      <c r="E201" s="37" cm="1">
        <f t="array" ref="E201">IF(ISNUMBER(SEARCH(".5",B201)),(E200+E202)/2,INDEX(Regen!$A$1:$Z$123,MATCH(ROUND(B201,0),Regen!$A:$A,0),Berechnung_Retention!$J$9))</f>
        <v>59.759109969999997</v>
      </c>
      <c r="F201" s="37">
        <f t="shared" si="13"/>
        <v>0</v>
      </c>
      <c r="G201" s="37">
        <f t="shared" si="14"/>
        <v>0</v>
      </c>
      <c r="H201" s="37">
        <f t="shared" si="15"/>
        <v>0</v>
      </c>
      <c r="I201" s="37">
        <f t="shared" si="16"/>
        <v>0</v>
      </c>
      <c r="L201" s="33"/>
      <c r="M201" s="38"/>
      <c r="N201" s="37"/>
      <c r="O201" s="37"/>
      <c r="P201" s="37"/>
      <c r="Q201" s="37"/>
      <c r="R201" s="37"/>
      <c r="S201" s="37"/>
      <c r="T201" s="35"/>
      <c r="U201" s="36"/>
      <c r="V201" s="35"/>
      <c r="AE201" s="7"/>
      <c r="AH201" s="7"/>
      <c r="AN201" s="7"/>
    </row>
    <row r="202" spans="1:50">
      <c r="A202" s="7"/>
      <c r="B202" s="33">
        <f t="shared" si="17"/>
        <v>84.5</v>
      </c>
      <c r="C202" s="38">
        <f t="shared" si="12"/>
        <v>1.4083333333333334</v>
      </c>
      <c r="D202" s="37"/>
      <c r="E202" s="37" cm="1">
        <f t="array" ref="E202">IF(ISNUMBER(SEARCH(".5",B202)),(E201+E203)/2,INDEX(Regen!$A$1:$Z$123,MATCH(ROUND(B202,0),Regen!$A:$A,0),Berechnung_Retention!$J$9))</f>
        <v>59.494912915</v>
      </c>
      <c r="F202" s="37">
        <f t="shared" si="13"/>
        <v>0</v>
      </c>
      <c r="G202" s="37">
        <f t="shared" si="14"/>
        <v>0</v>
      </c>
      <c r="H202" s="37">
        <f t="shared" si="15"/>
        <v>0</v>
      </c>
      <c r="I202" s="37">
        <f t="shared" si="16"/>
        <v>0</v>
      </c>
      <c r="L202" s="33"/>
      <c r="M202" s="38"/>
      <c r="N202" s="37"/>
      <c r="O202" s="37"/>
      <c r="P202" s="37"/>
      <c r="Q202" s="37"/>
      <c r="R202" s="37"/>
      <c r="S202" s="37"/>
      <c r="T202" s="35"/>
      <c r="U202" s="36"/>
      <c r="V202" s="35"/>
      <c r="AE202" s="7"/>
      <c r="AH202" s="7"/>
      <c r="AN202" s="7"/>
    </row>
    <row r="203" spans="1:50">
      <c r="A203" s="7"/>
      <c r="B203" s="33">
        <f t="shared" si="17"/>
        <v>85</v>
      </c>
      <c r="C203" s="38">
        <f t="shared" si="12"/>
        <v>1.4166666666666667</v>
      </c>
      <c r="D203" s="37"/>
      <c r="E203" s="37" cm="1">
        <f t="array" ref="E203">IF(ISNUMBER(SEARCH(".5",B203)),(E202+E204)/2,INDEX(Regen!$A$1:$Z$123,MATCH(ROUND(B203,0),Regen!$A:$A,0),Berechnung_Retention!$J$9))</f>
        <v>59.230715859999997</v>
      </c>
      <c r="F203" s="37">
        <f t="shared" si="13"/>
        <v>0</v>
      </c>
      <c r="G203" s="37">
        <f t="shared" si="14"/>
        <v>0</v>
      </c>
      <c r="H203" s="37">
        <f t="shared" si="15"/>
        <v>0</v>
      </c>
      <c r="I203" s="37">
        <f t="shared" si="16"/>
        <v>0</v>
      </c>
      <c r="L203" s="33"/>
      <c r="M203" s="38"/>
      <c r="N203" s="37"/>
      <c r="O203" s="37"/>
      <c r="P203" s="37"/>
      <c r="Q203" s="37"/>
      <c r="R203" s="37"/>
      <c r="S203" s="37"/>
      <c r="T203" s="35"/>
      <c r="U203" s="36"/>
      <c r="V203" s="35"/>
      <c r="AE203" s="7"/>
      <c r="AH203" s="7"/>
      <c r="AN203" s="7"/>
    </row>
    <row r="204" spans="1:50">
      <c r="A204" s="7"/>
      <c r="B204" s="33">
        <f t="shared" si="17"/>
        <v>85.5</v>
      </c>
      <c r="C204" s="38">
        <f t="shared" si="12"/>
        <v>1.425</v>
      </c>
      <c r="D204" s="37"/>
      <c r="E204" s="37" cm="1">
        <f t="array" ref="E204">IF(ISNUMBER(SEARCH(".5",B204)),(E203+E205)/2,INDEX(Regen!$A$1:$Z$123,MATCH(ROUND(B204,0),Regen!$A:$A,0),Berechnung_Retention!$J$9))</f>
        <v>58.972094595000002</v>
      </c>
      <c r="F204" s="37">
        <f t="shared" si="13"/>
        <v>0</v>
      </c>
      <c r="G204" s="37">
        <f t="shared" si="14"/>
        <v>0</v>
      </c>
      <c r="H204" s="37">
        <f t="shared" si="15"/>
        <v>0</v>
      </c>
      <c r="I204" s="37">
        <f t="shared" si="16"/>
        <v>0</v>
      </c>
      <c r="L204" s="33"/>
      <c r="M204" s="38"/>
      <c r="N204" s="37"/>
      <c r="O204" s="37"/>
      <c r="P204" s="37"/>
      <c r="Q204" s="37"/>
      <c r="R204" s="37"/>
      <c r="S204" s="37"/>
      <c r="T204" s="35"/>
      <c r="U204" s="36"/>
      <c r="V204" s="35"/>
      <c r="AE204" s="7"/>
      <c r="AH204" s="7"/>
      <c r="AN204" s="7"/>
    </row>
    <row r="205" spans="1:50">
      <c r="A205" s="7"/>
      <c r="B205" s="33">
        <f t="shared" si="17"/>
        <v>86</v>
      </c>
      <c r="C205" s="38">
        <f t="shared" si="12"/>
        <v>1.4333333333333333</v>
      </c>
      <c r="D205" s="37"/>
      <c r="E205" s="37" cm="1">
        <f t="array" ref="E205">IF(ISNUMBER(SEARCH(".5",B205)),(E204+E206)/2,INDEX(Regen!$A$1:$Z$123,MATCH(ROUND(B205,0),Regen!$A:$A,0),Berechnung_Retention!$J$9))</f>
        <v>58.713473329999999</v>
      </c>
      <c r="F205" s="37">
        <f t="shared" si="13"/>
        <v>0</v>
      </c>
      <c r="G205" s="37">
        <f t="shared" si="14"/>
        <v>0</v>
      </c>
      <c r="H205" s="37">
        <f t="shared" si="15"/>
        <v>0</v>
      </c>
      <c r="I205" s="37">
        <f t="shared" si="16"/>
        <v>0</v>
      </c>
      <c r="L205" s="33"/>
      <c r="M205" s="38"/>
      <c r="N205" s="37"/>
      <c r="O205" s="37"/>
      <c r="P205" s="37"/>
      <c r="Q205" s="37"/>
      <c r="R205" s="37"/>
      <c r="S205" s="37"/>
      <c r="T205" s="35"/>
      <c r="U205" s="36"/>
      <c r="V205" s="35"/>
      <c r="AE205" s="7"/>
      <c r="AH205" s="7"/>
      <c r="AN205" s="7"/>
    </row>
    <row r="206" spans="1:50">
      <c r="A206" s="7"/>
      <c r="B206" s="33">
        <f t="shared" si="17"/>
        <v>86.5</v>
      </c>
      <c r="C206" s="38">
        <f t="shared" si="12"/>
        <v>1.4416666666666667</v>
      </c>
      <c r="D206" s="37"/>
      <c r="E206" s="37" cm="1">
        <f t="array" ref="E206">IF(ISNUMBER(SEARCH(".5",B206)),(E205+E207)/2,INDEX(Regen!$A$1:$Z$123,MATCH(ROUND(B206,0),Regen!$A:$A,0),Berechnung_Retention!$J$9))</f>
        <v>58.460245704999998</v>
      </c>
      <c r="F206" s="37">
        <f t="shared" si="13"/>
        <v>0</v>
      </c>
      <c r="G206" s="37">
        <f t="shared" si="14"/>
        <v>0</v>
      </c>
      <c r="H206" s="37">
        <f t="shared" si="15"/>
        <v>0</v>
      </c>
      <c r="I206" s="37">
        <f t="shared" si="16"/>
        <v>0</v>
      </c>
      <c r="L206" s="33"/>
      <c r="M206" s="38"/>
      <c r="N206" s="37"/>
      <c r="O206" s="37"/>
      <c r="P206" s="37"/>
      <c r="Q206" s="37"/>
      <c r="R206" s="37"/>
      <c r="S206" s="37"/>
      <c r="T206" s="35"/>
      <c r="U206" s="36"/>
      <c r="V206" s="35"/>
      <c r="AE206" s="7"/>
      <c r="AH206" s="7"/>
      <c r="AN206" s="7"/>
    </row>
    <row r="207" spans="1:50">
      <c r="A207" s="7"/>
      <c r="B207" s="33">
        <f t="shared" si="17"/>
        <v>87</v>
      </c>
      <c r="C207" s="38">
        <f t="shared" si="12"/>
        <v>1.45</v>
      </c>
      <c r="D207" s="37"/>
      <c r="E207" s="37" cm="1">
        <f t="array" ref="E207">IF(ISNUMBER(SEARCH(".5",B207)),(E206+E208)/2,INDEX(Regen!$A$1:$Z$123,MATCH(ROUND(B207,0),Regen!$A:$A,0),Berechnung_Retention!$J$9))</f>
        <v>58.207018079999997</v>
      </c>
      <c r="F207" s="37">
        <f t="shared" si="13"/>
        <v>0</v>
      </c>
      <c r="G207" s="37">
        <f t="shared" si="14"/>
        <v>0</v>
      </c>
      <c r="H207" s="37">
        <f t="shared" si="15"/>
        <v>0</v>
      </c>
      <c r="I207" s="37">
        <f t="shared" si="16"/>
        <v>0</v>
      </c>
      <c r="L207" s="33"/>
      <c r="M207" s="38"/>
      <c r="N207" s="37"/>
      <c r="O207" s="37"/>
      <c r="P207" s="37"/>
      <c r="Q207" s="37"/>
      <c r="R207" s="37"/>
      <c r="S207" s="37"/>
      <c r="T207" s="35"/>
      <c r="U207" s="36"/>
      <c r="V207" s="35"/>
      <c r="AE207" s="7"/>
      <c r="AH207" s="7"/>
      <c r="AN207" s="7"/>
    </row>
    <row r="208" spans="1:50">
      <c r="A208" s="7"/>
      <c r="B208" s="33">
        <f t="shared" si="17"/>
        <v>87.5</v>
      </c>
      <c r="C208" s="38">
        <f t="shared" si="12"/>
        <v>1.4583333333333333</v>
      </c>
      <c r="D208" s="37"/>
      <c r="E208" s="37" cm="1">
        <f t="array" ref="E208">IF(ISNUMBER(SEARCH(".5",B208)),(E207+E209)/2,INDEX(Regen!$A$1:$Z$123,MATCH(ROUND(B208,0),Regen!$A:$A,0),Berechnung_Retention!$J$9))</f>
        <v>57.959009954999999</v>
      </c>
      <c r="F208" s="37">
        <f t="shared" si="13"/>
        <v>0</v>
      </c>
      <c r="G208" s="37">
        <f t="shared" si="14"/>
        <v>0</v>
      </c>
      <c r="H208" s="37">
        <f t="shared" si="15"/>
        <v>0</v>
      </c>
      <c r="I208" s="37">
        <f t="shared" si="16"/>
        <v>0</v>
      </c>
      <c r="L208" s="33"/>
      <c r="M208" s="38"/>
      <c r="N208" s="37"/>
      <c r="O208" s="37"/>
      <c r="P208" s="37"/>
      <c r="Q208" s="37"/>
      <c r="R208" s="37"/>
      <c r="S208" s="37"/>
      <c r="T208" s="35"/>
      <c r="U208" s="36"/>
      <c r="V208" s="35"/>
      <c r="AE208" s="7"/>
      <c r="AH208" s="7"/>
      <c r="AN208" s="7"/>
    </row>
    <row r="209" spans="1:40">
      <c r="A209" s="7"/>
      <c r="B209" s="33">
        <f t="shared" si="17"/>
        <v>88</v>
      </c>
      <c r="C209" s="38">
        <f t="shared" si="12"/>
        <v>1.4666666666666666</v>
      </c>
      <c r="D209" s="37"/>
      <c r="E209" s="37" cm="1">
        <f t="array" ref="E209">IF(ISNUMBER(SEARCH(".5",B209)),(E208+E210)/2,INDEX(Regen!$A$1:$Z$123,MATCH(ROUND(B209,0),Regen!$A:$A,0),Berechnung_Retention!$J$9))</f>
        <v>57.711001830000001</v>
      </c>
      <c r="F209" s="37">
        <f t="shared" si="13"/>
        <v>0</v>
      </c>
      <c r="G209" s="37">
        <f t="shared" si="14"/>
        <v>0</v>
      </c>
      <c r="H209" s="37">
        <f t="shared" si="15"/>
        <v>0</v>
      </c>
      <c r="I209" s="37">
        <f t="shared" si="16"/>
        <v>0</v>
      </c>
      <c r="L209" s="33"/>
      <c r="M209" s="38"/>
      <c r="N209" s="37"/>
      <c r="O209" s="37"/>
      <c r="P209" s="37"/>
      <c r="Q209" s="37"/>
      <c r="R209" s="37"/>
      <c r="S209" s="37"/>
      <c r="T209" s="35"/>
      <c r="U209" s="36"/>
      <c r="V209" s="35"/>
      <c r="AE209" s="7"/>
      <c r="AH209" s="7"/>
      <c r="AN209" s="7"/>
    </row>
    <row r="210" spans="1:40">
      <c r="A210" s="7"/>
      <c r="B210" s="33">
        <f t="shared" si="17"/>
        <v>88.5</v>
      </c>
      <c r="C210" s="38">
        <f t="shared" si="12"/>
        <v>1.4750000000000001</v>
      </c>
      <c r="D210" s="37"/>
      <c r="E210" s="37" cm="1">
        <f t="array" ref="E210">IF(ISNUMBER(SEARCH(".5",B210)),(E209+E211)/2,INDEX(Regen!$A$1:$Z$123,MATCH(ROUND(B210,0),Regen!$A:$A,0),Berechnung_Retention!$J$9))</f>
        <v>57.468046584999996</v>
      </c>
      <c r="F210" s="37">
        <f t="shared" si="13"/>
        <v>0</v>
      </c>
      <c r="G210" s="37">
        <f t="shared" si="14"/>
        <v>0</v>
      </c>
      <c r="H210" s="37">
        <f t="shared" si="15"/>
        <v>0</v>
      </c>
      <c r="I210" s="37">
        <f t="shared" si="16"/>
        <v>0</v>
      </c>
      <c r="L210" s="33"/>
      <c r="M210" s="38"/>
      <c r="N210" s="37"/>
      <c r="O210" s="37"/>
      <c r="P210" s="37"/>
      <c r="Q210" s="37"/>
      <c r="R210" s="37"/>
      <c r="S210" s="37"/>
      <c r="T210" s="35"/>
      <c r="U210" s="36"/>
      <c r="V210" s="35"/>
      <c r="AE210" s="7"/>
      <c r="AH210" s="7"/>
      <c r="AN210" s="7"/>
    </row>
    <row r="211" spans="1:40">
      <c r="A211" s="7"/>
      <c r="B211" s="33">
        <f t="shared" si="17"/>
        <v>89</v>
      </c>
      <c r="C211" s="38">
        <f t="shared" si="12"/>
        <v>1.4833333333333334</v>
      </c>
      <c r="D211" s="37"/>
      <c r="E211" s="37" cm="1">
        <f t="array" ref="E211">IF(ISNUMBER(SEARCH(".5",B211)),(E210+E212)/2,INDEX(Regen!$A$1:$Z$123,MATCH(ROUND(B211,0),Regen!$A:$A,0),Berechnung_Retention!$J$9))</f>
        <v>57.225091339999999</v>
      </c>
      <c r="F211" s="37">
        <f t="shared" si="13"/>
        <v>0</v>
      </c>
      <c r="G211" s="37">
        <f t="shared" si="14"/>
        <v>0</v>
      </c>
      <c r="H211" s="37">
        <f t="shared" si="15"/>
        <v>0</v>
      </c>
      <c r="I211" s="37">
        <f t="shared" si="16"/>
        <v>0</v>
      </c>
      <c r="L211" s="33"/>
      <c r="M211" s="38"/>
      <c r="N211" s="37"/>
      <c r="O211" s="37"/>
      <c r="P211" s="37"/>
      <c r="Q211" s="37"/>
      <c r="R211" s="37"/>
      <c r="S211" s="37"/>
      <c r="T211" s="35"/>
      <c r="U211" s="36"/>
      <c r="V211" s="35"/>
      <c r="AE211" s="7"/>
      <c r="AH211" s="7"/>
      <c r="AN211" s="7"/>
    </row>
    <row r="212" spans="1:40">
      <c r="A212" s="7"/>
      <c r="B212" s="33">
        <f t="shared" si="17"/>
        <v>89.5</v>
      </c>
      <c r="C212" s="38">
        <f t="shared" si="12"/>
        <v>1.4916666666666667</v>
      </c>
      <c r="D212" s="37"/>
      <c r="E212" s="37" cm="1">
        <f t="array" ref="E212">IF(ISNUMBER(SEARCH(".5",B212)),(E211+E213)/2,INDEX(Regen!$A$1:$Z$123,MATCH(ROUND(B212,0),Regen!$A:$A,0),Berechnung_Retention!$J$9))</f>
        <v>56.987029524999997</v>
      </c>
      <c r="F212" s="37">
        <f t="shared" si="13"/>
        <v>0</v>
      </c>
      <c r="G212" s="37">
        <f t="shared" si="14"/>
        <v>0</v>
      </c>
      <c r="H212" s="37">
        <f t="shared" si="15"/>
        <v>0</v>
      </c>
      <c r="I212" s="37">
        <f t="shared" si="16"/>
        <v>0</v>
      </c>
      <c r="L212" s="33"/>
      <c r="M212" s="38"/>
      <c r="N212" s="37"/>
      <c r="O212" s="37"/>
      <c r="P212" s="37"/>
      <c r="Q212" s="37"/>
      <c r="R212" s="37"/>
      <c r="S212" s="37"/>
      <c r="T212" s="35"/>
      <c r="U212" s="36"/>
      <c r="V212" s="35"/>
      <c r="AE212" s="7"/>
      <c r="AH212" s="7"/>
      <c r="AN212" s="7"/>
    </row>
    <row r="213" spans="1:40">
      <c r="A213" s="7"/>
      <c r="B213" s="33">
        <f t="shared" si="17"/>
        <v>90</v>
      </c>
      <c r="C213" s="38">
        <f t="shared" si="12"/>
        <v>1.5</v>
      </c>
      <c r="D213" s="37"/>
      <c r="E213" s="37" cm="1">
        <f t="array" ref="E213">IF(ISNUMBER(SEARCH(".5",B213)),(E212+E214)/2,INDEX(Regen!$A$1:$Z$123,MATCH(ROUND(B213,0),Regen!$A:$A,0),Berechnung_Retention!$J$9))</f>
        <v>56.748967710000002</v>
      </c>
      <c r="F213" s="37">
        <f t="shared" si="13"/>
        <v>0</v>
      </c>
      <c r="G213" s="37">
        <f t="shared" si="14"/>
        <v>0</v>
      </c>
      <c r="H213" s="37">
        <f t="shared" si="15"/>
        <v>0</v>
      </c>
      <c r="I213" s="37">
        <f t="shared" si="16"/>
        <v>0</v>
      </c>
      <c r="L213" s="33"/>
      <c r="M213" s="38"/>
      <c r="N213" s="37"/>
      <c r="O213" s="37"/>
      <c r="P213" s="37"/>
      <c r="Q213" s="37"/>
      <c r="R213" s="37"/>
      <c r="S213" s="37"/>
      <c r="T213" s="35"/>
      <c r="U213" s="36"/>
      <c r="V213" s="35"/>
      <c r="AE213" s="7"/>
      <c r="AH213" s="7"/>
      <c r="AN213" s="7"/>
    </row>
    <row r="214" spans="1:40">
      <c r="A214" s="7"/>
      <c r="B214" s="33">
        <f t="shared" si="17"/>
        <v>90.5</v>
      </c>
      <c r="C214" s="38">
        <f t="shared" si="12"/>
        <v>1.5083333333333333</v>
      </c>
      <c r="D214" s="37"/>
      <c r="E214" s="37" cm="1">
        <f t="array" ref="E214">IF(ISNUMBER(SEARCH(".5",B214)),(E213+E215)/2,INDEX(Regen!$A$1:$Z$123,MATCH(ROUND(B214,0),Regen!$A:$A,0),Berechnung_Retention!$J$9))</f>
        <v>56.515646610000005</v>
      </c>
      <c r="F214" s="37">
        <f t="shared" si="13"/>
        <v>0</v>
      </c>
      <c r="G214" s="37">
        <f t="shared" si="14"/>
        <v>0</v>
      </c>
      <c r="H214" s="37">
        <f t="shared" si="15"/>
        <v>0</v>
      </c>
      <c r="I214" s="37">
        <f t="shared" si="16"/>
        <v>0</v>
      </c>
      <c r="L214" s="33"/>
      <c r="M214" s="38"/>
      <c r="N214" s="37"/>
      <c r="O214" s="37"/>
      <c r="P214" s="37"/>
      <c r="Q214" s="37"/>
      <c r="R214" s="37"/>
      <c r="S214" s="37"/>
      <c r="T214" s="35"/>
      <c r="U214" s="36"/>
      <c r="V214" s="35"/>
      <c r="AE214" s="7"/>
      <c r="AH214" s="7"/>
      <c r="AN214" s="7"/>
    </row>
    <row r="215" spans="1:40">
      <c r="A215" s="7"/>
      <c r="B215" s="33">
        <f t="shared" si="17"/>
        <v>91</v>
      </c>
      <c r="C215" s="38">
        <f t="shared" si="12"/>
        <v>1.5166666666666666</v>
      </c>
      <c r="D215" s="37"/>
      <c r="E215" s="37" cm="1">
        <f t="array" ref="E215">IF(ISNUMBER(SEARCH(".5",B215)),(E214+E216)/2,INDEX(Regen!$A$1:$Z$123,MATCH(ROUND(B215,0),Regen!$A:$A,0),Berechnung_Retention!$J$9))</f>
        <v>56.28232551</v>
      </c>
      <c r="F215" s="37">
        <f t="shared" si="13"/>
        <v>0</v>
      </c>
      <c r="G215" s="37">
        <f t="shared" si="14"/>
        <v>0</v>
      </c>
      <c r="H215" s="37">
        <f t="shared" si="15"/>
        <v>0</v>
      </c>
      <c r="I215" s="37">
        <f t="shared" si="16"/>
        <v>0</v>
      </c>
      <c r="L215" s="33"/>
      <c r="M215" s="38"/>
      <c r="N215" s="37"/>
      <c r="O215" s="37"/>
      <c r="P215" s="37"/>
      <c r="Q215" s="37"/>
      <c r="R215" s="37"/>
      <c r="S215" s="37"/>
      <c r="T215" s="35"/>
      <c r="U215" s="36"/>
      <c r="V215" s="35"/>
      <c r="AE215" s="7"/>
      <c r="AH215" s="7"/>
      <c r="AN215" s="7"/>
    </row>
    <row r="216" spans="1:40">
      <c r="A216" s="7"/>
      <c r="B216" s="33">
        <f t="shared" si="17"/>
        <v>91.5</v>
      </c>
      <c r="C216" s="38">
        <f t="shared" si="12"/>
        <v>1.5249999999999999</v>
      </c>
      <c r="D216" s="37"/>
      <c r="E216" s="37" cm="1">
        <f t="array" ref="E216">IF(ISNUMBER(SEARCH(".5",B216)),(E215+E217)/2,INDEX(Regen!$A$1:$Z$123,MATCH(ROUND(B216,0),Regen!$A:$A,0),Berechnung_Retention!$J$9))</f>
        <v>56.053598824999995</v>
      </c>
      <c r="F216" s="37">
        <f t="shared" si="13"/>
        <v>0</v>
      </c>
      <c r="G216" s="37">
        <f t="shared" si="14"/>
        <v>0</v>
      </c>
      <c r="H216" s="37">
        <f t="shared" si="15"/>
        <v>0</v>
      </c>
      <c r="I216" s="37">
        <f t="shared" si="16"/>
        <v>0</v>
      </c>
      <c r="L216" s="33"/>
      <c r="M216" s="38"/>
      <c r="N216" s="37"/>
      <c r="O216" s="37"/>
      <c r="P216" s="37"/>
      <c r="Q216" s="37"/>
      <c r="R216" s="37"/>
      <c r="S216" s="37"/>
      <c r="T216" s="35"/>
      <c r="U216" s="36"/>
      <c r="V216" s="35"/>
      <c r="AE216" s="7"/>
      <c r="AH216" s="7"/>
      <c r="AN216" s="7"/>
    </row>
    <row r="217" spans="1:40">
      <c r="A217" s="7"/>
      <c r="B217" s="33">
        <f t="shared" si="17"/>
        <v>92</v>
      </c>
      <c r="C217" s="38">
        <f t="shared" si="12"/>
        <v>1.5333333333333334</v>
      </c>
      <c r="D217" s="37"/>
      <c r="E217" s="37" cm="1">
        <f t="array" ref="E217">IF(ISNUMBER(SEARCH(".5",B217)),(E216+E218)/2,INDEX(Regen!$A$1:$Z$123,MATCH(ROUND(B217,0),Regen!$A:$A,0),Berechnung_Retention!$J$9))</f>
        <v>55.824872139999997</v>
      </c>
      <c r="F217" s="37">
        <f t="shared" si="13"/>
        <v>0</v>
      </c>
      <c r="G217" s="37">
        <f t="shared" si="14"/>
        <v>0</v>
      </c>
      <c r="H217" s="37">
        <f t="shared" si="15"/>
        <v>0</v>
      </c>
      <c r="I217" s="37">
        <f t="shared" si="16"/>
        <v>0</v>
      </c>
      <c r="L217" s="33"/>
      <c r="M217" s="38"/>
      <c r="N217" s="37"/>
      <c r="O217" s="37"/>
      <c r="P217" s="37"/>
      <c r="Q217" s="37"/>
      <c r="R217" s="37"/>
      <c r="S217" s="37"/>
      <c r="T217" s="35"/>
      <c r="U217" s="36"/>
      <c r="V217" s="35"/>
      <c r="AE217" s="7"/>
      <c r="AH217" s="7"/>
      <c r="AN217" s="7"/>
    </row>
    <row r="218" spans="1:40">
      <c r="A218" s="7"/>
      <c r="B218" s="33">
        <f t="shared" si="17"/>
        <v>92.5</v>
      </c>
      <c r="C218" s="38">
        <f t="shared" si="12"/>
        <v>1.5416666666666667</v>
      </c>
      <c r="D218" s="37"/>
      <c r="E218" s="37" cm="1">
        <f t="array" ref="E218">IF(ISNUMBER(SEARCH(".5",B218)),(E217+E219)/2,INDEX(Regen!$A$1:$Z$123,MATCH(ROUND(B218,0),Regen!$A:$A,0),Berechnung_Retention!$J$9))</f>
        <v>55.600599629999998</v>
      </c>
      <c r="F218" s="37">
        <f t="shared" si="13"/>
        <v>0</v>
      </c>
      <c r="G218" s="37">
        <f t="shared" si="14"/>
        <v>0</v>
      </c>
      <c r="H218" s="37">
        <f t="shared" si="15"/>
        <v>0</v>
      </c>
      <c r="I218" s="37">
        <f t="shared" si="16"/>
        <v>0</v>
      </c>
      <c r="L218" s="33"/>
      <c r="M218" s="38"/>
      <c r="N218" s="37"/>
      <c r="O218" s="37"/>
      <c r="P218" s="37"/>
      <c r="Q218" s="37"/>
      <c r="R218" s="37"/>
      <c r="S218" s="37"/>
      <c r="T218" s="35"/>
      <c r="U218" s="36"/>
      <c r="V218" s="35"/>
      <c r="AE218" s="7"/>
      <c r="AH218" s="7"/>
      <c r="AN218" s="7"/>
    </row>
    <row r="219" spans="1:40">
      <c r="A219" s="7"/>
      <c r="B219" s="33">
        <f t="shared" si="17"/>
        <v>93</v>
      </c>
      <c r="C219" s="38">
        <f t="shared" si="12"/>
        <v>1.55</v>
      </c>
      <c r="D219" s="37"/>
      <c r="E219" s="37" cm="1">
        <f t="array" ref="E219">IF(ISNUMBER(SEARCH(".5",B219)),(E218+E220)/2,INDEX(Regen!$A$1:$Z$123,MATCH(ROUND(B219,0),Regen!$A:$A,0),Berechnung_Retention!$J$9))</f>
        <v>55.376327119999999</v>
      </c>
      <c r="F219" s="37">
        <f t="shared" si="13"/>
        <v>0</v>
      </c>
      <c r="G219" s="37">
        <f t="shared" si="14"/>
        <v>0</v>
      </c>
      <c r="H219" s="37">
        <f t="shared" si="15"/>
        <v>0</v>
      </c>
      <c r="I219" s="37">
        <f t="shared" si="16"/>
        <v>0</v>
      </c>
      <c r="L219" s="33"/>
      <c r="M219" s="38"/>
      <c r="N219" s="37"/>
      <c r="O219" s="37"/>
      <c r="P219" s="37"/>
      <c r="Q219" s="37"/>
      <c r="R219" s="37"/>
      <c r="S219" s="37"/>
      <c r="T219" s="35"/>
      <c r="U219" s="36"/>
      <c r="V219" s="35"/>
      <c r="AE219" s="7"/>
      <c r="AH219" s="7"/>
      <c r="AN219" s="7"/>
    </row>
    <row r="220" spans="1:40">
      <c r="A220" s="7"/>
      <c r="B220" s="33">
        <f t="shared" si="17"/>
        <v>93.5</v>
      </c>
      <c r="C220" s="38">
        <f t="shared" si="12"/>
        <v>1.5583333333333333</v>
      </c>
      <c r="D220" s="37"/>
      <c r="E220" s="37" cm="1">
        <f t="array" ref="E220">IF(ISNUMBER(SEARCH(".5",B220)),(E219+E221)/2,INDEX(Regen!$A$1:$Z$123,MATCH(ROUND(B220,0),Regen!$A:$A,0),Berechnung_Retention!$J$9))</f>
        <v>55.156374305</v>
      </c>
      <c r="F220" s="37">
        <f t="shared" si="13"/>
        <v>0</v>
      </c>
      <c r="G220" s="37">
        <f t="shared" si="14"/>
        <v>0</v>
      </c>
      <c r="H220" s="37">
        <f t="shared" si="15"/>
        <v>0</v>
      </c>
      <c r="I220" s="37">
        <f t="shared" si="16"/>
        <v>0</v>
      </c>
      <c r="L220" s="33"/>
      <c r="M220" s="38"/>
      <c r="N220" s="37"/>
      <c r="O220" s="37"/>
      <c r="P220" s="37"/>
      <c r="Q220" s="37"/>
      <c r="R220" s="37"/>
      <c r="S220" s="37"/>
      <c r="T220" s="35"/>
      <c r="U220" s="36"/>
      <c r="V220" s="35"/>
      <c r="AE220" s="7"/>
      <c r="AH220" s="7"/>
      <c r="AN220" s="7"/>
    </row>
    <row r="221" spans="1:40">
      <c r="A221" s="7"/>
      <c r="B221" s="33">
        <f t="shared" si="17"/>
        <v>94</v>
      </c>
      <c r="C221" s="38">
        <f t="shared" si="12"/>
        <v>1.5666666666666667</v>
      </c>
      <c r="D221" s="37"/>
      <c r="E221" s="37" cm="1">
        <f t="array" ref="E221">IF(ISNUMBER(SEARCH(".5",B221)),(E220+E222)/2,INDEX(Regen!$A$1:$Z$123,MATCH(ROUND(B221,0),Regen!$A:$A,0),Berechnung_Retention!$J$9))</f>
        <v>54.936421490000001</v>
      </c>
      <c r="F221" s="37">
        <f t="shared" si="13"/>
        <v>0</v>
      </c>
      <c r="G221" s="37">
        <f t="shared" si="14"/>
        <v>0</v>
      </c>
      <c r="H221" s="37">
        <f t="shared" si="15"/>
        <v>0</v>
      </c>
      <c r="I221" s="37">
        <f t="shared" si="16"/>
        <v>0</v>
      </c>
      <c r="L221" s="33"/>
      <c r="M221" s="38"/>
      <c r="N221" s="37"/>
      <c r="O221" s="37"/>
      <c r="P221" s="37"/>
      <c r="Q221" s="37"/>
      <c r="R221" s="37"/>
      <c r="S221" s="37"/>
      <c r="T221" s="35"/>
      <c r="U221" s="36"/>
      <c r="V221" s="35"/>
      <c r="AE221" s="7"/>
      <c r="AH221" s="7"/>
      <c r="AN221" s="7"/>
    </row>
    <row r="222" spans="1:40">
      <c r="A222" s="7"/>
      <c r="B222" s="33">
        <f t="shared" si="17"/>
        <v>94.5</v>
      </c>
      <c r="C222" s="38">
        <f t="shared" si="12"/>
        <v>1.575</v>
      </c>
      <c r="D222" s="37"/>
      <c r="E222" s="37" cm="1">
        <f t="array" ref="E222">IF(ISNUMBER(SEARCH(".5",B222)),(E221+E223)/2,INDEX(Regen!$A$1:$Z$123,MATCH(ROUND(B222,0),Regen!$A:$A,0),Berechnung_Retention!$J$9))</f>
        <v>54.720659330000004</v>
      </c>
      <c r="F222" s="37">
        <f t="shared" si="13"/>
        <v>0</v>
      </c>
      <c r="G222" s="37">
        <f t="shared" si="14"/>
        <v>0</v>
      </c>
      <c r="H222" s="37">
        <f t="shared" si="15"/>
        <v>0</v>
      </c>
      <c r="I222" s="37">
        <f t="shared" si="16"/>
        <v>0</v>
      </c>
      <c r="L222" s="33"/>
      <c r="M222" s="38"/>
      <c r="N222" s="37"/>
      <c r="O222" s="37"/>
      <c r="P222" s="37"/>
      <c r="Q222" s="37"/>
      <c r="R222" s="37"/>
      <c r="S222" s="37"/>
      <c r="T222" s="35"/>
      <c r="U222" s="36"/>
      <c r="V222" s="35"/>
      <c r="AE222" s="7"/>
      <c r="AH222" s="7"/>
      <c r="AN222" s="7"/>
    </row>
    <row r="223" spans="1:40">
      <c r="A223" s="7"/>
      <c r="B223" s="33">
        <f t="shared" si="17"/>
        <v>95</v>
      </c>
      <c r="C223" s="38">
        <f t="shared" si="12"/>
        <v>1.5833333333333333</v>
      </c>
      <c r="D223" s="37"/>
      <c r="E223" s="37" cm="1">
        <f t="array" ref="E223">IF(ISNUMBER(SEARCH(".5",B223)),(E222+E224)/2,INDEX(Regen!$A$1:$Z$123,MATCH(ROUND(B223,0),Regen!$A:$A,0),Berechnung_Retention!$J$9))</f>
        <v>54.50489717</v>
      </c>
      <c r="F223" s="37">
        <f t="shared" si="13"/>
        <v>0</v>
      </c>
      <c r="G223" s="37">
        <f t="shared" si="14"/>
        <v>0</v>
      </c>
      <c r="H223" s="37">
        <f t="shared" si="15"/>
        <v>0</v>
      </c>
      <c r="I223" s="37">
        <f t="shared" si="16"/>
        <v>0</v>
      </c>
      <c r="L223" s="33"/>
      <c r="M223" s="38"/>
      <c r="N223" s="37"/>
      <c r="O223" s="37"/>
      <c r="P223" s="37"/>
      <c r="Q223" s="37"/>
      <c r="R223" s="37"/>
      <c r="S223" s="37"/>
      <c r="T223" s="35"/>
      <c r="U223" s="36"/>
      <c r="V223" s="35"/>
      <c r="AE223" s="7"/>
      <c r="AH223" s="7"/>
      <c r="AN223" s="7"/>
    </row>
    <row r="224" spans="1:40">
      <c r="A224" s="7"/>
      <c r="B224" s="33">
        <f t="shared" si="17"/>
        <v>95.5</v>
      </c>
      <c r="C224" s="38">
        <f t="shared" si="12"/>
        <v>1.5916666666666666</v>
      </c>
      <c r="D224" s="37"/>
      <c r="E224" s="37" cm="1">
        <f t="array" ref="E224">IF(ISNUMBER(SEARCH(".5",B224)),(E223+E225)/2,INDEX(Regen!$A$1:$Z$123,MATCH(ROUND(B224,0),Regen!$A:$A,0),Berechnung_Retention!$J$9))</f>
        <v>54.293201830000001</v>
      </c>
      <c r="F224" s="37">
        <f t="shared" si="13"/>
        <v>0</v>
      </c>
      <c r="G224" s="37">
        <f t="shared" si="14"/>
        <v>0</v>
      </c>
      <c r="H224" s="37">
        <f t="shared" si="15"/>
        <v>0</v>
      </c>
      <c r="I224" s="37">
        <f t="shared" si="16"/>
        <v>0</v>
      </c>
      <c r="L224" s="33"/>
      <c r="M224" s="38"/>
      <c r="N224" s="37"/>
      <c r="O224" s="37"/>
      <c r="P224" s="37"/>
      <c r="Q224" s="37"/>
      <c r="R224" s="37"/>
      <c r="S224" s="37"/>
      <c r="T224" s="35"/>
      <c r="U224" s="36"/>
      <c r="V224" s="35"/>
      <c r="AE224" s="7"/>
      <c r="AH224" s="7"/>
      <c r="AN224" s="7"/>
    </row>
    <row r="225" spans="1:40">
      <c r="A225" s="7"/>
      <c r="B225" s="33">
        <f t="shared" si="17"/>
        <v>96</v>
      </c>
      <c r="C225" s="38">
        <f t="shared" ref="C225:C273" si="18">B225/60</f>
        <v>1.6</v>
      </c>
      <c r="D225" s="37"/>
      <c r="E225" s="37" cm="1">
        <f t="array" ref="E225">IF(ISNUMBER(SEARCH(".5",B225)),(E224+E226)/2,INDEX(Regen!$A$1:$Z$123,MATCH(ROUND(B225,0),Regen!$A:$A,0),Berechnung_Retention!$J$9))</f>
        <v>54.081506490000002</v>
      </c>
      <c r="F225" s="37">
        <f t="shared" ref="F225:F273" si="19">E225*$B$12</f>
        <v>0</v>
      </c>
      <c r="G225" s="37">
        <f t="shared" ref="G225:G273" si="20">F225*60*B225/1000</f>
        <v>0</v>
      </c>
      <c r="H225" s="37">
        <f t="shared" ref="H225:H273" si="21">B225*60/1000*$B$14</f>
        <v>0</v>
      </c>
      <c r="I225" s="37">
        <f t="shared" ref="I225:I273" si="22">G225-H225</f>
        <v>0</v>
      </c>
      <c r="L225" s="33"/>
      <c r="M225" s="38"/>
      <c r="N225" s="37"/>
      <c r="O225" s="37"/>
      <c r="P225" s="37"/>
      <c r="Q225" s="37"/>
      <c r="R225" s="37"/>
      <c r="S225" s="37"/>
      <c r="T225" s="35"/>
      <c r="U225" s="36"/>
      <c r="V225" s="35"/>
      <c r="AE225" s="7"/>
      <c r="AH225" s="7"/>
      <c r="AN225" s="7"/>
    </row>
    <row r="226" spans="1:40">
      <c r="A226" s="7"/>
      <c r="B226" s="33">
        <f t="shared" ref="B226:B273" si="23">+B225+0.5</f>
        <v>96.5</v>
      </c>
      <c r="C226" s="38">
        <f t="shared" si="18"/>
        <v>1.6083333333333334</v>
      </c>
      <c r="D226" s="37"/>
      <c r="E226" s="37" cm="1">
        <f t="array" ref="E226">IF(ISNUMBER(SEARCH(".5",B226)),(E225+E227)/2,INDEX(Regen!$A$1:$Z$123,MATCH(ROUND(B226,0),Regen!$A:$A,0),Berechnung_Retention!$J$9))</f>
        <v>53.873759030000002</v>
      </c>
      <c r="F226" s="37">
        <f t="shared" si="19"/>
        <v>0</v>
      </c>
      <c r="G226" s="37">
        <f t="shared" si="20"/>
        <v>0</v>
      </c>
      <c r="H226" s="37">
        <f t="shared" si="21"/>
        <v>0</v>
      </c>
      <c r="I226" s="37">
        <f t="shared" si="22"/>
        <v>0</v>
      </c>
      <c r="L226" s="33"/>
      <c r="M226" s="38"/>
      <c r="N226" s="37"/>
      <c r="O226" s="37"/>
      <c r="P226" s="37"/>
      <c r="Q226" s="37"/>
      <c r="R226" s="37"/>
      <c r="S226" s="37"/>
      <c r="T226" s="35"/>
      <c r="U226" s="36"/>
      <c r="V226" s="35"/>
      <c r="AE226" s="7"/>
      <c r="AH226" s="7"/>
      <c r="AN226" s="7"/>
    </row>
    <row r="227" spans="1:40">
      <c r="A227" s="7"/>
      <c r="B227" s="33">
        <f t="shared" si="23"/>
        <v>97</v>
      </c>
      <c r="C227" s="38">
        <f t="shared" si="18"/>
        <v>1.6166666666666667</v>
      </c>
      <c r="D227" s="37"/>
      <c r="E227" s="37" cm="1">
        <f t="array" ref="E227">IF(ISNUMBER(SEARCH(".5",B227)),(E226+E228)/2,INDEX(Regen!$A$1:$Z$123,MATCH(ROUND(B227,0),Regen!$A:$A,0),Berechnung_Retention!$J$9))</f>
        <v>53.666011570000002</v>
      </c>
      <c r="F227" s="37">
        <f t="shared" si="19"/>
        <v>0</v>
      </c>
      <c r="G227" s="37">
        <f t="shared" si="20"/>
        <v>0</v>
      </c>
      <c r="H227" s="37">
        <f t="shared" si="21"/>
        <v>0</v>
      </c>
      <c r="I227" s="37">
        <f t="shared" si="22"/>
        <v>0</v>
      </c>
      <c r="L227" s="33"/>
      <c r="M227" s="38"/>
      <c r="N227" s="37"/>
      <c r="O227" s="37"/>
      <c r="P227" s="37"/>
      <c r="Q227" s="37"/>
      <c r="R227" s="37"/>
      <c r="S227" s="37"/>
      <c r="T227" s="35"/>
      <c r="U227" s="36"/>
      <c r="V227" s="35"/>
      <c r="AE227" s="7"/>
      <c r="AH227" s="7"/>
      <c r="AN227" s="7"/>
    </row>
    <row r="228" spans="1:40">
      <c r="A228" s="7"/>
      <c r="B228" s="33">
        <f t="shared" si="23"/>
        <v>97.5</v>
      </c>
      <c r="C228" s="38">
        <f t="shared" si="18"/>
        <v>1.625</v>
      </c>
      <c r="D228" s="37"/>
      <c r="E228" s="37" cm="1">
        <f t="array" ref="E228">IF(ISNUMBER(SEARCH(".5",B228)),(E227+E229)/2,INDEX(Regen!$A$1:$Z$123,MATCH(ROUND(B228,0),Regen!$A:$A,0),Berechnung_Retention!$J$9))</f>
        <v>53.462097745000001</v>
      </c>
      <c r="F228" s="37">
        <f t="shared" si="19"/>
        <v>0</v>
      </c>
      <c r="G228" s="37">
        <f t="shared" si="20"/>
        <v>0</v>
      </c>
      <c r="H228" s="37">
        <f t="shared" si="21"/>
        <v>0</v>
      </c>
      <c r="I228" s="37">
        <f t="shared" si="22"/>
        <v>0</v>
      </c>
      <c r="L228" s="33"/>
      <c r="M228" s="38"/>
      <c r="N228" s="37"/>
      <c r="O228" s="37"/>
      <c r="P228" s="37"/>
      <c r="Q228" s="37"/>
      <c r="R228" s="37"/>
      <c r="S228" s="37"/>
      <c r="T228" s="35"/>
      <c r="U228" s="36"/>
      <c r="V228" s="35"/>
      <c r="AE228" s="7"/>
      <c r="AH228" s="7"/>
      <c r="AN228" s="7"/>
    </row>
    <row r="229" spans="1:40">
      <c r="A229" s="7"/>
      <c r="B229" s="33">
        <f t="shared" si="23"/>
        <v>98</v>
      </c>
      <c r="C229" s="38">
        <f t="shared" si="18"/>
        <v>1.6333333333333333</v>
      </c>
      <c r="D229" s="37"/>
      <c r="E229" s="37" cm="1">
        <f t="array" ref="E229">IF(ISNUMBER(SEARCH(".5",B229)),(E228+E230)/2,INDEX(Regen!$A$1:$Z$123,MATCH(ROUND(B229,0),Regen!$A:$A,0),Berechnung_Retention!$J$9))</f>
        <v>53.25818392</v>
      </c>
      <c r="F229" s="37">
        <f t="shared" si="19"/>
        <v>0</v>
      </c>
      <c r="G229" s="37">
        <f t="shared" si="20"/>
        <v>0</v>
      </c>
      <c r="H229" s="37">
        <f t="shared" si="21"/>
        <v>0</v>
      </c>
      <c r="I229" s="37">
        <f t="shared" si="22"/>
        <v>0</v>
      </c>
      <c r="L229" s="33"/>
      <c r="M229" s="38"/>
      <c r="N229" s="37"/>
      <c r="O229" s="37"/>
      <c r="P229" s="37"/>
      <c r="Q229" s="37"/>
      <c r="R229" s="37"/>
      <c r="S229" s="37"/>
      <c r="T229" s="35"/>
      <c r="U229" s="36"/>
      <c r="V229" s="35"/>
      <c r="AE229" s="7"/>
      <c r="AH229" s="7"/>
      <c r="AN229" s="7"/>
    </row>
    <row r="230" spans="1:40">
      <c r="A230" s="7"/>
      <c r="B230" s="33">
        <f t="shared" si="23"/>
        <v>98.5</v>
      </c>
      <c r="C230" s="38">
        <f t="shared" si="18"/>
        <v>1.6416666666666666</v>
      </c>
      <c r="D230" s="37"/>
      <c r="E230" s="37" cm="1">
        <f t="array" ref="E230">IF(ISNUMBER(SEARCH(".5",B230)),(E229+E231)/2,INDEX(Regen!$A$1:$Z$123,MATCH(ROUND(B230,0),Regen!$A:$A,0),Berechnung_Retention!$J$9))</f>
        <v>53.057993925000005</v>
      </c>
      <c r="F230" s="37">
        <f t="shared" si="19"/>
        <v>0</v>
      </c>
      <c r="G230" s="37">
        <f t="shared" si="20"/>
        <v>0</v>
      </c>
      <c r="H230" s="37">
        <f t="shared" si="21"/>
        <v>0</v>
      </c>
      <c r="I230" s="37">
        <f t="shared" si="22"/>
        <v>0</v>
      </c>
      <c r="L230" s="33"/>
      <c r="M230" s="38"/>
      <c r="N230" s="37"/>
      <c r="O230" s="37"/>
      <c r="P230" s="37"/>
      <c r="Q230" s="37"/>
      <c r="R230" s="37"/>
      <c r="S230" s="37"/>
      <c r="T230" s="35"/>
      <c r="U230" s="36"/>
      <c r="V230" s="35"/>
      <c r="AE230" s="7"/>
      <c r="AH230" s="7"/>
      <c r="AN230" s="7"/>
    </row>
    <row r="231" spans="1:40">
      <c r="A231" s="7"/>
      <c r="B231" s="33">
        <f t="shared" si="23"/>
        <v>99</v>
      </c>
      <c r="C231" s="38">
        <f t="shared" si="18"/>
        <v>1.65</v>
      </c>
      <c r="D231" s="37"/>
      <c r="E231" s="37" cm="1">
        <f t="array" ref="E231">IF(ISNUMBER(SEARCH(".5",B231)),(E230+E232)/2,INDEX(Regen!$A$1:$Z$123,MATCH(ROUND(B231,0),Regen!$A:$A,0),Berechnung_Retention!$J$9))</f>
        <v>52.857803930000003</v>
      </c>
      <c r="F231" s="37">
        <f t="shared" si="19"/>
        <v>0</v>
      </c>
      <c r="G231" s="37">
        <f t="shared" si="20"/>
        <v>0</v>
      </c>
      <c r="H231" s="37">
        <f t="shared" si="21"/>
        <v>0</v>
      </c>
      <c r="I231" s="37">
        <f t="shared" si="22"/>
        <v>0</v>
      </c>
      <c r="L231" s="33"/>
      <c r="M231" s="38"/>
      <c r="N231" s="37"/>
      <c r="O231" s="37"/>
      <c r="P231" s="37"/>
      <c r="Q231" s="37"/>
      <c r="R231" s="37"/>
      <c r="S231" s="37"/>
      <c r="T231" s="35"/>
      <c r="U231" s="36"/>
      <c r="V231" s="35"/>
      <c r="AE231" s="7"/>
      <c r="AH231" s="7"/>
      <c r="AN231" s="7"/>
    </row>
    <row r="232" spans="1:40">
      <c r="A232" s="7"/>
      <c r="B232" s="33">
        <f t="shared" si="23"/>
        <v>99.5</v>
      </c>
      <c r="C232" s="38">
        <f t="shared" si="18"/>
        <v>1.6583333333333334</v>
      </c>
      <c r="D232" s="37"/>
      <c r="E232" s="37" cm="1">
        <f t="array" ref="E232">IF(ISNUMBER(SEARCH(".5",B232)),(E231+E233)/2,INDEX(Regen!$A$1:$Z$123,MATCH(ROUND(B232,0),Regen!$A:$A,0),Berechnung_Retention!$J$9))</f>
        <v>52.661232185000003</v>
      </c>
      <c r="F232" s="37">
        <f t="shared" si="19"/>
        <v>0</v>
      </c>
      <c r="G232" s="37">
        <f t="shared" si="20"/>
        <v>0</v>
      </c>
      <c r="H232" s="37">
        <f t="shared" si="21"/>
        <v>0</v>
      </c>
      <c r="I232" s="37">
        <f t="shared" si="22"/>
        <v>0</v>
      </c>
      <c r="L232" s="33"/>
      <c r="M232" s="38"/>
      <c r="N232" s="37"/>
      <c r="O232" s="37"/>
      <c r="P232" s="37"/>
      <c r="Q232" s="37"/>
      <c r="R232" s="37"/>
      <c r="S232" s="37"/>
      <c r="T232" s="35"/>
      <c r="U232" s="36"/>
      <c r="V232" s="35"/>
      <c r="AE232" s="7"/>
      <c r="AH232" s="7"/>
      <c r="AN232" s="7"/>
    </row>
    <row r="233" spans="1:40">
      <c r="A233" s="7"/>
      <c r="B233" s="33">
        <f t="shared" si="23"/>
        <v>100</v>
      </c>
      <c r="C233" s="38">
        <f t="shared" si="18"/>
        <v>1.6666666666666667</v>
      </c>
      <c r="D233" s="37"/>
      <c r="E233" s="37" cm="1">
        <f t="array" ref="E233">IF(ISNUMBER(SEARCH(".5",B233)),(E232+E234)/2,INDEX(Regen!$A$1:$Z$123,MATCH(ROUND(B233,0),Regen!$A:$A,0),Berechnung_Retention!$J$9))</f>
        <v>52.464660440000003</v>
      </c>
      <c r="F233" s="37">
        <f t="shared" si="19"/>
        <v>0</v>
      </c>
      <c r="G233" s="37">
        <f t="shared" si="20"/>
        <v>0</v>
      </c>
      <c r="H233" s="37">
        <f t="shared" si="21"/>
        <v>0</v>
      </c>
      <c r="I233" s="37">
        <f t="shared" si="22"/>
        <v>0</v>
      </c>
      <c r="L233" s="33"/>
      <c r="M233" s="38"/>
      <c r="N233" s="37"/>
      <c r="O233" s="37"/>
      <c r="P233" s="37"/>
      <c r="Q233" s="37"/>
      <c r="R233" s="37"/>
      <c r="S233" s="37"/>
      <c r="T233" s="35"/>
      <c r="U233" s="36"/>
      <c r="V233" s="35"/>
      <c r="AE233" s="7"/>
      <c r="AH233" s="7"/>
      <c r="AN233" s="7"/>
    </row>
    <row r="234" spans="1:40">
      <c r="A234" s="7"/>
      <c r="B234" s="33">
        <f t="shared" si="23"/>
        <v>100.5</v>
      </c>
      <c r="C234" s="38">
        <f t="shared" si="18"/>
        <v>1.675</v>
      </c>
      <c r="D234" s="37"/>
      <c r="E234" s="37" cm="1">
        <f t="array" ref="E234">IF(ISNUMBER(SEARCH(".5",B234)),(E233+E235)/2,INDEX(Regen!$A$1:$Z$123,MATCH(ROUND(B234,0),Regen!$A:$A,0),Berechnung_Retention!$J$9))</f>
        <v>52.271605399999999</v>
      </c>
      <c r="F234" s="37">
        <f t="shared" si="19"/>
        <v>0</v>
      </c>
      <c r="G234" s="37">
        <f t="shared" si="20"/>
        <v>0</v>
      </c>
      <c r="H234" s="37">
        <f t="shared" si="21"/>
        <v>0</v>
      </c>
      <c r="I234" s="37">
        <f t="shared" si="22"/>
        <v>0</v>
      </c>
      <c r="L234" s="33"/>
      <c r="M234" s="38"/>
      <c r="N234" s="37"/>
      <c r="O234" s="37"/>
      <c r="P234" s="37"/>
      <c r="Q234" s="37"/>
      <c r="R234" s="37"/>
      <c r="S234" s="37"/>
      <c r="T234" s="35"/>
      <c r="U234" s="36"/>
      <c r="V234" s="35"/>
      <c r="AE234" s="7"/>
      <c r="AH234" s="7"/>
      <c r="AN234" s="7"/>
    </row>
    <row r="235" spans="1:40">
      <c r="A235" s="7"/>
      <c r="B235" s="33">
        <f t="shared" si="23"/>
        <v>101</v>
      </c>
      <c r="C235" s="38">
        <f t="shared" si="18"/>
        <v>1.6833333333333333</v>
      </c>
      <c r="D235" s="37"/>
      <c r="E235" s="37" cm="1">
        <f t="array" ref="E235">IF(ISNUMBER(SEARCH(".5",B235)),(E234+E236)/2,INDEX(Regen!$A$1:$Z$123,MATCH(ROUND(B235,0),Regen!$A:$A,0),Berechnung_Retention!$J$9))</f>
        <v>52.078550360000001</v>
      </c>
      <c r="F235" s="37">
        <f t="shared" si="19"/>
        <v>0</v>
      </c>
      <c r="G235" s="37">
        <f t="shared" si="20"/>
        <v>0</v>
      </c>
      <c r="H235" s="37">
        <f t="shared" si="21"/>
        <v>0</v>
      </c>
      <c r="I235" s="37">
        <f t="shared" si="22"/>
        <v>0</v>
      </c>
      <c r="L235" s="33"/>
      <c r="M235" s="38"/>
      <c r="N235" s="37"/>
      <c r="O235" s="37"/>
      <c r="P235" s="37"/>
      <c r="Q235" s="37"/>
      <c r="R235" s="37"/>
      <c r="S235" s="37"/>
      <c r="T235" s="35"/>
      <c r="U235" s="36"/>
      <c r="V235" s="35"/>
      <c r="AE235" s="7"/>
      <c r="AH235" s="7"/>
      <c r="AN235" s="7"/>
    </row>
    <row r="236" spans="1:40">
      <c r="A236" s="7"/>
      <c r="B236" s="33">
        <f t="shared" si="23"/>
        <v>101.5</v>
      </c>
      <c r="C236" s="38">
        <f t="shared" si="18"/>
        <v>1.6916666666666667</v>
      </c>
      <c r="D236" s="37"/>
      <c r="E236" s="37" cm="1">
        <f t="array" ref="E236">IF(ISNUMBER(SEARCH(".5",B236)),(E235+E237)/2,INDEX(Regen!$A$1:$Z$123,MATCH(ROUND(B236,0),Regen!$A:$A,0),Berechnung_Retention!$J$9))</f>
        <v>51.888914315000001</v>
      </c>
      <c r="F236" s="37">
        <f t="shared" si="19"/>
        <v>0</v>
      </c>
      <c r="G236" s="37">
        <f t="shared" si="20"/>
        <v>0</v>
      </c>
      <c r="H236" s="37">
        <f t="shared" si="21"/>
        <v>0</v>
      </c>
      <c r="I236" s="37">
        <f t="shared" si="22"/>
        <v>0</v>
      </c>
      <c r="L236" s="33"/>
      <c r="M236" s="38"/>
      <c r="N236" s="37"/>
      <c r="O236" s="37"/>
      <c r="P236" s="37"/>
      <c r="Q236" s="37"/>
      <c r="R236" s="37"/>
      <c r="S236" s="37"/>
      <c r="T236" s="35"/>
      <c r="U236" s="36"/>
      <c r="V236" s="35"/>
      <c r="AE236" s="7"/>
      <c r="AH236" s="7"/>
      <c r="AN236" s="7"/>
    </row>
    <row r="237" spans="1:40">
      <c r="A237" s="7"/>
      <c r="B237" s="33">
        <f t="shared" si="23"/>
        <v>102</v>
      </c>
      <c r="C237" s="38">
        <f t="shared" si="18"/>
        <v>1.7</v>
      </c>
      <c r="D237" s="37"/>
      <c r="E237" s="37" cm="1">
        <f t="array" ref="E237">IF(ISNUMBER(SEARCH(".5",B237)),(E236+E238)/2,INDEX(Regen!$A$1:$Z$123,MATCH(ROUND(B237,0),Regen!$A:$A,0),Berechnung_Retention!$J$9))</f>
        <v>51.699278270000001</v>
      </c>
      <c r="F237" s="37">
        <f t="shared" si="19"/>
        <v>0</v>
      </c>
      <c r="G237" s="37">
        <f t="shared" si="20"/>
        <v>0</v>
      </c>
      <c r="H237" s="37">
        <f t="shared" si="21"/>
        <v>0</v>
      </c>
      <c r="I237" s="37">
        <f t="shared" si="22"/>
        <v>0</v>
      </c>
      <c r="L237" s="33"/>
      <c r="M237" s="38"/>
      <c r="N237" s="37"/>
      <c r="O237" s="37"/>
      <c r="P237" s="37"/>
      <c r="Q237" s="37"/>
      <c r="R237" s="37"/>
      <c r="S237" s="37"/>
      <c r="T237" s="35"/>
      <c r="U237" s="36"/>
      <c r="V237" s="35"/>
      <c r="AE237" s="7"/>
      <c r="AH237" s="7"/>
      <c r="AN237" s="7"/>
    </row>
    <row r="238" spans="1:40">
      <c r="A238" s="7"/>
      <c r="B238" s="33">
        <f t="shared" si="23"/>
        <v>102.5</v>
      </c>
      <c r="C238" s="38">
        <f t="shared" si="18"/>
        <v>1.7083333333333333</v>
      </c>
      <c r="D238" s="37"/>
      <c r="E238" s="37" cm="1">
        <f t="array" ref="E238">IF(ISNUMBER(SEARCH(".5",B238)),(E237+E239)/2,INDEX(Regen!$A$1:$Z$123,MATCH(ROUND(B238,0),Regen!$A:$A,0),Berechnung_Retention!$J$9))</f>
        <v>51.512967154999998</v>
      </c>
      <c r="F238" s="37">
        <f t="shared" si="19"/>
        <v>0</v>
      </c>
      <c r="G238" s="37">
        <f t="shared" si="20"/>
        <v>0</v>
      </c>
      <c r="H238" s="37">
        <f t="shared" si="21"/>
        <v>0</v>
      </c>
      <c r="I238" s="37">
        <f t="shared" si="22"/>
        <v>0</v>
      </c>
      <c r="L238" s="33"/>
      <c r="M238" s="38"/>
      <c r="N238" s="37"/>
      <c r="O238" s="37"/>
      <c r="P238" s="37"/>
      <c r="Q238" s="37"/>
      <c r="R238" s="37"/>
      <c r="S238" s="37"/>
      <c r="T238" s="35"/>
      <c r="U238" s="36"/>
      <c r="V238" s="35"/>
      <c r="AE238" s="7"/>
      <c r="AH238" s="7"/>
      <c r="AN238" s="7"/>
    </row>
    <row r="239" spans="1:40">
      <c r="A239" s="7"/>
      <c r="B239" s="33">
        <f t="shared" si="23"/>
        <v>103</v>
      </c>
      <c r="C239" s="38">
        <f t="shared" si="18"/>
        <v>1.7166666666666666</v>
      </c>
      <c r="D239" s="37"/>
      <c r="E239" s="37" cm="1">
        <f t="array" ref="E239">IF(ISNUMBER(SEARCH(".5",B239)),(E238+E240)/2,INDEX(Regen!$A$1:$Z$123,MATCH(ROUND(B239,0),Regen!$A:$A,0),Berechnung_Retention!$J$9))</f>
        <v>51.326656040000003</v>
      </c>
      <c r="F239" s="37">
        <f t="shared" si="19"/>
        <v>0</v>
      </c>
      <c r="G239" s="37">
        <f t="shared" si="20"/>
        <v>0</v>
      </c>
      <c r="H239" s="37">
        <f t="shared" si="21"/>
        <v>0</v>
      </c>
      <c r="I239" s="37">
        <f t="shared" si="22"/>
        <v>0</v>
      </c>
      <c r="L239" s="33"/>
      <c r="M239" s="38"/>
      <c r="N239" s="37"/>
      <c r="O239" s="37"/>
      <c r="P239" s="37"/>
      <c r="Q239" s="37"/>
      <c r="R239" s="37"/>
      <c r="S239" s="37"/>
      <c r="T239" s="35"/>
      <c r="U239" s="36"/>
      <c r="V239" s="35"/>
      <c r="AE239" s="7"/>
      <c r="AH239" s="7"/>
      <c r="AN239" s="7"/>
    </row>
    <row r="240" spans="1:40">
      <c r="A240" s="7"/>
      <c r="B240" s="33">
        <f t="shared" si="23"/>
        <v>103.5</v>
      </c>
      <c r="C240" s="38">
        <f t="shared" si="18"/>
        <v>1.7250000000000001</v>
      </c>
      <c r="D240" s="37"/>
      <c r="E240" s="37" cm="1">
        <f t="array" ref="E240">IF(ISNUMBER(SEARCH(".5",B240)),(E239+E241)/2,INDEX(Regen!$A$1:$Z$123,MATCH(ROUND(B240,0),Regen!$A:$A,0),Berechnung_Retention!$J$9))</f>
        <v>51.143579275</v>
      </c>
      <c r="F240" s="37">
        <f t="shared" si="19"/>
        <v>0</v>
      </c>
      <c r="G240" s="37">
        <f t="shared" si="20"/>
        <v>0</v>
      </c>
      <c r="H240" s="37">
        <f t="shared" si="21"/>
        <v>0</v>
      </c>
      <c r="I240" s="37">
        <f t="shared" si="22"/>
        <v>0</v>
      </c>
      <c r="L240" s="33"/>
      <c r="M240" s="38"/>
      <c r="N240" s="37"/>
      <c r="O240" s="37"/>
      <c r="P240" s="37"/>
      <c r="Q240" s="37"/>
      <c r="R240" s="37"/>
      <c r="S240" s="37"/>
      <c r="T240" s="35"/>
      <c r="U240" s="36"/>
      <c r="V240" s="35"/>
      <c r="AE240" s="7"/>
      <c r="AH240" s="7"/>
      <c r="AN240" s="7"/>
    </row>
    <row r="241" spans="1:40">
      <c r="A241" s="7"/>
      <c r="B241" s="33">
        <f t="shared" si="23"/>
        <v>104</v>
      </c>
      <c r="C241" s="38">
        <f t="shared" si="18"/>
        <v>1.7333333333333334</v>
      </c>
      <c r="D241" s="37"/>
      <c r="E241" s="37" cm="1">
        <f t="array" ref="E241">IF(ISNUMBER(SEARCH(".5",B241)),(E240+E242)/2,INDEX(Regen!$A$1:$Z$123,MATCH(ROUND(B241,0),Regen!$A:$A,0),Berechnung_Retention!$J$9))</f>
        <v>50.960502509999998</v>
      </c>
      <c r="F241" s="37">
        <f t="shared" si="19"/>
        <v>0</v>
      </c>
      <c r="G241" s="37">
        <f t="shared" si="20"/>
        <v>0</v>
      </c>
      <c r="H241" s="37">
        <f t="shared" si="21"/>
        <v>0</v>
      </c>
      <c r="I241" s="37">
        <f t="shared" si="22"/>
        <v>0</v>
      </c>
      <c r="L241" s="33"/>
      <c r="M241" s="38"/>
      <c r="N241" s="37"/>
      <c r="O241" s="37"/>
      <c r="P241" s="37"/>
      <c r="Q241" s="37"/>
      <c r="R241" s="37"/>
      <c r="S241" s="37"/>
      <c r="T241" s="35"/>
      <c r="U241" s="36"/>
      <c r="V241" s="35"/>
      <c r="AE241" s="7"/>
      <c r="AH241" s="7"/>
      <c r="AN241" s="7"/>
    </row>
    <row r="242" spans="1:40">
      <c r="A242" s="7"/>
      <c r="B242" s="33">
        <f t="shared" si="23"/>
        <v>104.5</v>
      </c>
      <c r="C242" s="38">
        <f t="shared" si="18"/>
        <v>1.7416666666666667</v>
      </c>
      <c r="D242" s="37"/>
      <c r="E242" s="37" cm="1">
        <f t="array" ref="E242">IF(ISNUMBER(SEARCH(".5",B242)),(E241+E243)/2,INDEX(Regen!$A$1:$Z$123,MATCH(ROUND(B242,0),Regen!$A:$A,0),Berechnung_Retention!$J$9))</f>
        <v>50.780572839999998</v>
      </c>
      <c r="F242" s="37">
        <f t="shared" si="19"/>
        <v>0</v>
      </c>
      <c r="G242" s="37">
        <f t="shared" si="20"/>
        <v>0</v>
      </c>
      <c r="H242" s="37">
        <f t="shared" si="21"/>
        <v>0</v>
      </c>
      <c r="I242" s="37">
        <f t="shared" si="22"/>
        <v>0</v>
      </c>
      <c r="L242" s="33"/>
      <c r="M242" s="38"/>
      <c r="N242" s="37"/>
      <c r="O242" s="37"/>
      <c r="P242" s="37"/>
      <c r="Q242" s="37"/>
      <c r="R242" s="37"/>
      <c r="S242" s="37"/>
      <c r="T242" s="35"/>
      <c r="U242" s="36"/>
      <c r="V242" s="35"/>
      <c r="AE242" s="7"/>
      <c r="AH242" s="7"/>
      <c r="AN242" s="7"/>
    </row>
    <row r="243" spans="1:40">
      <c r="A243" s="7"/>
      <c r="B243" s="33">
        <f t="shared" si="23"/>
        <v>105</v>
      </c>
      <c r="C243" s="38">
        <f t="shared" si="18"/>
        <v>1.75</v>
      </c>
      <c r="D243" s="37"/>
      <c r="E243" s="37" cm="1">
        <f t="array" ref="E243">IF(ISNUMBER(SEARCH(".5",B243)),(E242+E244)/2,INDEX(Regen!$A$1:$Z$123,MATCH(ROUND(B243,0),Regen!$A:$A,0),Berechnung_Retention!$J$9))</f>
        <v>50.600643169999998</v>
      </c>
      <c r="F243" s="37">
        <f t="shared" si="19"/>
        <v>0</v>
      </c>
      <c r="G243" s="37">
        <f t="shared" si="20"/>
        <v>0</v>
      </c>
      <c r="H243" s="37">
        <f t="shared" si="21"/>
        <v>0</v>
      </c>
      <c r="I243" s="37">
        <f t="shared" si="22"/>
        <v>0</v>
      </c>
      <c r="L243" s="33"/>
      <c r="M243" s="38"/>
      <c r="N243" s="37"/>
      <c r="O243" s="37"/>
      <c r="P243" s="37"/>
      <c r="Q243" s="37"/>
      <c r="R243" s="37"/>
      <c r="S243" s="37"/>
      <c r="T243" s="35"/>
      <c r="U243" s="36"/>
      <c r="V243" s="35"/>
      <c r="AE243" s="7"/>
      <c r="AH243" s="7"/>
      <c r="AN243" s="7"/>
    </row>
    <row r="244" spans="1:40">
      <c r="A244" s="7"/>
      <c r="B244" s="33">
        <f t="shared" si="23"/>
        <v>105.5</v>
      </c>
      <c r="C244" s="38">
        <f t="shared" si="18"/>
        <v>1.7583333333333333</v>
      </c>
      <c r="D244" s="37"/>
      <c r="E244" s="37" cm="1">
        <f t="array" ref="E244">IF(ISNUMBER(SEARCH(".5",B244)),(E243+E245)/2,INDEX(Regen!$A$1:$Z$123,MATCH(ROUND(B244,0),Regen!$A:$A,0),Berechnung_Retention!$J$9))</f>
        <v>50.423776509999996</v>
      </c>
      <c r="F244" s="37">
        <f t="shared" si="19"/>
        <v>0</v>
      </c>
      <c r="G244" s="37">
        <f t="shared" si="20"/>
        <v>0</v>
      </c>
      <c r="H244" s="37">
        <f t="shared" si="21"/>
        <v>0</v>
      </c>
      <c r="I244" s="37">
        <f t="shared" si="22"/>
        <v>0</v>
      </c>
      <c r="L244" s="33"/>
      <c r="M244" s="38"/>
      <c r="N244" s="37"/>
      <c r="O244" s="37"/>
      <c r="P244" s="37"/>
      <c r="Q244" s="37"/>
      <c r="R244" s="37"/>
      <c r="S244" s="37"/>
      <c r="T244" s="35"/>
      <c r="U244" s="36"/>
      <c r="V244" s="35"/>
      <c r="AE244" s="7"/>
      <c r="AH244" s="7"/>
      <c r="AN244" s="7"/>
    </row>
    <row r="245" spans="1:40">
      <c r="A245" s="7"/>
      <c r="B245" s="33">
        <f t="shared" si="23"/>
        <v>106</v>
      </c>
      <c r="C245" s="38">
        <f t="shared" si="18"/>
        <v>1.7666666666666666</v>
      </c>
      <c r="D245" s="37"/>
      <c r="E245" s="37" cm="1">
        <f t="array" ref="E245">IF(ISNUMBER(SEARCH(".5",B245)),(E244+E246)/2,INDEX(Regen!$A$1:$Z$123,MATCH(ROUND(B245,0),Regen!$A:$A,0),Berechnung_Retention!$J$9))</f>
        <v>50.246909850000002</v>
      </c>
      <c r="F245" s="37">
        <f t="shared" si="19"/>
        <v>0</v>
      </c>
      <c r="G245" s="37">
        <f t="shared" si="20"/>
        <v>0</v>
      </c>
      <c r="H245" s="37">
        <f t="shared" si="21"/>
        <v>0</v>
      </c>
      <c r="I245" s="37">
        <f t="shared" si="22"/>
        <v>0</v>
      </c>
      <c r="L245" s="33"/>
      <c r="M245" s="38"/>
      <c r="N245" s="37"/>
      <c r="O245" s="37"/>
      <c r="P245" s="37"/>
      <c r="Q245" s="37"/>
      <c r="R245" s="37"/>
      <c r="S245" s="37"/>
      <c r="T245" s="35"/>
      <c r="U245" s="36"/>
      <c r="V245" s="35"/>
      <c r="AE245" s="7"/>
      <c r="AH245" s="7"/>
      <c r="AN245" s="7"/>
    </row>
    <row r="246" spans="1:40">
      <c r="A246" s="7"/>
      <c r="B246" s="33">
        <f t="shared" si="23"/>
        <v>106.5</v>
      </c>
      <c r="C246" s="38">
        <f t="shared" si="18"/>
        <v>1.7749999999999999</v>
      </c>
      <c r="D246" s="37"/>
      <c r="E246" s="37" cm="1">
        <f t="array" ref="E246">IF(ISNUMBER(SEARCH(".5",B246)),(E245+E247)/2,INDEX(Regen!$A$1:$Z$123,MATCH(ROUND(B246,0),Regen!$A:$A,0),Berechnung_Retention!$J$9))</f>
        <v>50.073025135000002</v>
      </c>
      <c r="F246" s="37">
        <f t="shared" si="19"/>
        <v>0</v>
      </c>
      <c r="G246" s="37">
        <f t="shared" si="20"/>
        <v>0</v>
      </c>
      <c r="H246" s="37">
        <f t="shared" si="21"/>
        <v>0</v>
      </c>
      <c r="I246" s="37">
        <f t="shared" si="22"/>
        <v>0</v>
      </c>
      <c r="L246" s="33"/>
      <c r="M246" s="38"/>
      <c r="N246" s="37"/>
      <c r="O246" s="37"/>
      <c r="P246" s="37"/>
      <c r="Q246" s="37"/>
      <c r="R246" s="37"/>
      <c r="S246" s="37"/>
      <c r="T246" s="35"/>
      <c r="U246" s="36"/>
      <c r="V246" s="35"/>
      <c r="AE246" s="7"/>
      <c r="AH246" s="7"/>
      <c r="AN246" s="7"/>
    </row>
    <row r="247" spans="1:40">
      <c r="A247" s="7"/>
      <c r="B247" s="33">
        <f t="shared" si="23"/>
        <v>107</v>
      </c>
      <c r="C247" s="38">
        <f t="shared" si="18"/>
        <v>1.7833333333333334</v>
      </c>
      <c r="D247" s="37"/>
      <c r="E247" s="37" cm="1">
        <f t="array" ref="E247">IF(ISNUMBER(SEARCH(".5",B247)),(E246+E248)/2,INDEX(Regen!$A$1:$Z$123,MATCH(ROUND(B247,0),Regen!$A:$A,0),Berechnung_Retention!$J$9))</f>
        <v>49.899140420000002</v>
      </c>
      <c r="F247" s="37">
        <f t="shared" si="19"/>
        <v>0</v>
      </c>
      <c r="G247" s="37">
        <f t="shared" si="20"/>
        <v>0</v>
      </c>
      <c r="H247" s="37">
        <f t="shared" si="21"/>
        <v>0</v>
      </c>
      <c r="I247" s="37">
        <f t="shared" si="22"/>
        <v>0</v>
      </c>
      <c r="L247" s="33"/>
      <c r="M247" s="38"/>
      <c r="N247" s="37"/>
      <c r="O247" s="37"/>
      <c r="P247" s="37"/>
      <c r="Q247" s="37"/>
      <c r="R247" s="37"/>
      <c r="S247" s="37"/>
      <c r="T247" s="35"/>
      <c r="U247" s="36"/>
      <c r="V247" s="35"/>
      <c r="AE247" s="7"/>
      <c r="AH247" s="7"/>
      <c r="AN247" s="7"/>
    </row>
    <row r="248" spans="1:40">
      <c r="A248" s="7"/>
      <c r="B248" s="33">
        <f t="shared" si="23"/>
        <v>107.5</v>
      </c>
      <c r="C248" s="38">
        <f t="shared" si="18"/>
        <v>1.7916666666666667</v>
      </c>
      <c r="D248" s="37"/>
      <c r="E248" s="37" cm="1">
        <f t="array" ref="E248">IF(ISNUMBER(SEARCH(".5",B248)),(E247+E249)/2,INDEX(Regen!$A$1:$Z$123,MATCH(ROUND(B248,0),Regen!$A:$A,0),Berechnung_Retention!$J$9))</f>
        <v>49.728159470000001</v>
      </c>
      <c r="F248" s="37">
        <f t="shared" si="19"/>
        <v>0</v>
      </c>
      <c r="G248" s="37">
        <f t="shared" si="20"/>
        <v>0</v>
      </c>
      <c r="H248" s="37">
        <f t="shared" si="21"/>
        <v>0</v>
      </c>
      <c r="I248" s="37">
        <f t="shared" si="22"/>
        <v>0</v>
      </c>
      <c r="L248" s="33"/>
      <c r="M248" s="38"/>
      <c r="N248" s="37"/>
      <c r="O248" s="37"/>
      <c r="P248" s="37"/>
      <c r="Q248" s="37"/>
      <c r="R248" s="37"/>
      <c r="S248" s="37"/>
      <c r="T248" s="35"/>
      <c r="U248" s="36"/>
      <c r="V248" s="35"/>
      <c r="AE248" s="7"/>
      <c r="AH248" s="7"/>
      <c r="AN248" s="7"/>
    </row>
    <row r="249" spans="1:40">
      <c r="A249" s="7"/>
      <c r="B249" s="33">
        <f t="shared" si="23"/>
        <v>108</v>
      </c>
      <c r="C249" s="38">
        <f t="shared" si="18"/>
        <v>1.8</v>
      </c>
      <c r="D249" s="37"/>
      <c r="E249" s="37" cm="1">
        <f t="array" ref="E249">IF(ISNUMBER(SEARCH(".5",B249)),(E248+E250)/2,INDEX(Regen!$A$1:$Z$123,MATCH(ROUND(B249,0),Regen!$A:$A,0),Berechnung_Retention!$J$9))</f>
        <v>49.557178520000001</v>
      </c>
      <c r="F249" s="37">
        <f t="shared" si="19"/>
        <v>0</v>
      </c>
      <c r="G249" s="37">
        <f t="shared" si="20"/>
        <v>0</v>
      </c>
      <c r="H249" s="37">
        <f t="shared" si="21"/>
        <v>0</v>
      </c>
      <c r="I249" s="37">
        <f t="shared" si="22"/>
        <v>0</v>
      </c>
      <c r="L249" s="33"/>
      <c r="M249" s="38"/>
      <c r="N249" s="37"/>
      <c r="O249" s="37"/>
      <c r="P249" s="37"/>
      <c r="Q249" s="37"/>
      <c r="R249" s="37"/>
      <c r="S249" s="37"/>
      <c r="T249" s="35"/>
      <c r="U249" s="36"/>
      <c r="V249" s="35"/>
      <c r="AE249" s="7"/>
      <c r="AH249" s="7"/>
      <c r="AN249" s="7"/>
    </row>
    <row r="250" spans="1:40">
      <c r="A250" s="7"/>
      <c r="B250" s="33">
        <f t="shared" si="23"/>
        <v>108.5</v>
      </c>
      <c r="C250" s="38">
        <f t="shared" si="18"/>
        <v>1.8083333333333333</v>
      </c>
      <c r="D250" s="37"/>
      <c r="E250" s="37" cm="1">
        <f t="array" ref="E250">IF(ISNUMBER(SEARCH(".5",B250)),(E249+E251)/2,INDEX(Regen!$A$1:$Z$123,MATCH(ROUND(B250,0),Regen!$A:$A,0),Berechnung_Retention!$J$9))</f>
        <v>49.389025930000003</v>
      </c>
      <c r="F250" s="37">
        <f t="shared" si="19"/>
        <v>0</v>
      </c>
      <c r="G250" s="37">
        <f t="shared" si="20"/>
        <v>0</v>
      </c>
      <c r="H250" s="37">
        <f t="shared" si="21"/>
        <v>0</v>
      </c>
      <c r="I250" s="37">
        <f t="shared" si="22"/>
        <v>0</v>
      </c>
      <c r="L250" s="33"/>
      <c r="M250" s="38"/>
      <c r="N250" s="37"/>
      <c r="O250" s="37"/>
      <c r="P250" s="37"/>
      <c r="Q250" s="37"/>
      <c r="R250" s="37"/>
      <c r="S250" s="37"/>
      <c r="T250" s="35"/>
      <c r="U250" s="36"/>
      <c r="V250" s="35"/>
      <c r="AE250" s="7"/>
      <c r="AH250" s="7"/>
      <c r="AN250" s="7"/>
    </row>
    <row r="251" spans="1:40">
      <c r="A251" s="7"/>
      <c r="B251" s="33">
        <f t="shared" si="23"/>
        <v>109</v>
      </c>
      <c r="C251" s="38">
        <f t="shared" si="18"/>
        <v>1.8166666666666667</v>
      </c>
      <c r="D251" s="37"/>
      <c r="E251" s="37" cm="1">
        <f t="array" ref="E251">IF(ISNUMBER(SEARCH(".5",B251)),(E250+E252)/2,INDEX(Regen!$A$1:$Z$123,MATCH(ROUND(B251,0),Regen!$A:$A,0),Berechnung_Retention!$J$9))</f>
        <v>49.220873339999997</v>
      </c>
      <c r="F251" s="37">
        <f t="shared" si="19"/>
        <v>0</v>
      </c>
      <c r="G251" s="37">
        <f t="shared" si="20"/>
        <v>0</v>
      </c>
      <c r="H251" s="37">
        <f t="shared" si="21"/>
        <v>0</v>
      </c>
      <c r="I251" s="37">
        <f t="shared" si="22"/>
        <v>0</v>
      </c>
      <c r="L251" s="33"/>
      <c r="M251" s="38"/>
      <c r="N251" s="37"/>
      <c r="O251" s="37"/>
      <c r="P251" s="37"/>
      <c r="Q251" s="37"/>
      <c r="R251" s="37"/>
      <c r="S251" s="37"/>
      <c r="T251" s="35"/>
      <c r="U251" s="36"/>
      <c r="V251" s="35"/>
      <c r="AE251" s="7"/>
      <c r="AH251" s="7"/>
      <c r="AN251" s="7"/>
    </row>
    <row r="252" spans="1:40">
      <c r="A252" s="7"/>
      <c r="B252" s="33">
        <f t="shared" si="23"/>
        <v>109.5</v>
      </c>
      <c r="C252" s="38">
        <f t="shared" si="18"/>
        <v>1.825</v>
      </c>
      <c r="D252" s="37"/>
      <c r="E252" s="37" cm="1">
        <f t="array" ref="E252">IF(ISNUMBER(SEARCH(".5",B252)),(E251+E253)/2,INDEX(Regen!$A$1:$Z$123,MATCH(ROUND(B252,0),Regen!$A:$A,0),Berechnung_Retention!$J$9))</f>
        <v>49.055476334999994</v>
      </c>
      <c r="F252" s="37">
        <f t="shared" si="19"/>
        <v>0</v>
      </c>
      <c r="G252" s="37">
        <f t="shared" si="20"/>
        <v>0</v>
      </c>
      <c r="H252" s="37">
        <f t="shared" si="21"/>
        <v>0</v>
      </c>
      <c r="I252" s="37">
        <f t="shared" si="22"/>
        <v>0</v>
      </c>
      <c r="L252" s="33"/>
      <c r="M252" s="38"/>
      <c r="N252" s="37"/>
      <c r="O252" s="37"/>
      <c r="P252" s="37"/>
      <c r="Q252" s="37"/>
      <c r="R252" s="37"/>
      <c r="S252" s="37"/>
      <c r="T252" s="35"/>
      <c r="U252" s="36"/>
      <c r="V252" s="35"/>
      <c r="AE252" s="7"/>
      <c r="AH252" s="7"/>
      <c r="AN252" s="7"/>
    </row>
    <row r="253" spans="1:40">
      <c r="A253" s="7"/>
      <c r="B253" s="33">
        <f t="shared" si="23"/>
        <v>110</v>
      </c>
      <c r="C253" s="38">
        <f t="shared" si="18"/>
        <v>1.8333333333333333</v>
      </c>
      <c r="D253" s="37"/>
      <c r="E253" s="37" cm="1">
        <f t="array" ref="E253">IF(ISNUMBER(SEARCH(".5",B253)),(E252+E254)/2,INDEX(Regen!$A$1:$Z$123,MATCH(ROUND(B253,0),Regen!$A:$A,0),Berechnung_Retention!$J$9))</f>
        <v>48.890079329999999</v>
      </c>
      <c r="F253" s="37">
        <f t="shared" si="19"/>
        <v>0</v>
      </c>
      <c r="G253" s="37">
        <f t="shared" si="20"/>
        <v>0</v>
      </c>
      <c r="H253" s="37">
        <f t="shared" si="21"/>
        <v>0</v>
      </c>
      <c r="I253" s="37">
        <f t="shared" si="22"/>
        <v>0</v>
      </c>
      <c r="L253" s="33"/>
      <c r="M253" s="38"/>
      <c r="N253" s="37"/>
      <c r="O253" s="37"/>
      <c r="P253" s="37"/>
      <c r="Q253" s="37"/>
      <c r="R253" s="37"/>
      <c r="S253" s="37"/>
      <c r="T253" s="35"/>
      <c r="U253" s="36"/>
      <c r="V253" s="35"/>
      <c r="AE253" s="7"/>
      <c r="AH253" s="7"/>
      <c r="AN253" s="7"/>
    </row>
    <row r="254" spans="1:40">
      <c r="A254" s="7"/>
      <c r="B254" s="33">
        <f t="shared" si="23"/>
        <v>110.5</v>
      </c>
      <c r="C254" s="38">
        <f t="shared" si="18"/>
        <v>1.8416666666666666</v>
      </c>
      <c r="D254" s="37"/>
      <c r="E254" s="37" cm="1">
        <f t="array" ref="E254">IF(ISNUMBER(SEARCH(".5",B254)),(E253+E255)/2,INDEX(Regen!$A$1:$Z$123,MATCH(ROUND(B254,0),Regen!$A:$A,0),Berechnung_Retention!$J$9))</f>
        <v>48.727367645000001</v>
      </c>
      <c r="F254" s="37">
        <f t="shared" si="19"/>
        <v>0</v>
      </c>
      <c r="G254" s="37">
        <f t="shared" si="20"/>
        <v>0</v>
      </c>
      <c r="H254" s="37">
        <f t="shared" si="21"/>
        <v>0</v>
      </c>
      <c r="I254" s="37">
        <f t="shared" si="22"/>
        <v>0</v>
      </c>
      <c r="L254" s="33"/>
      <c r="M254" s="38"/>
      <c r="N254" s="37"/>
      <c r="O254" s="37"/>
      <c r="P254" s="37"/>
      <c r="Q254" s="37"/>
      <c r="R254" s="37"/>
      <c r="S254" s="37"/>
      <c r="T254" s="35"/>
      <c r="U254" s="36"/>
      <c r="V254" s="35"/>
      <c r="AE254" s="7"/>
      <c r="AH254" s="7"/>
      <c r="AN254" s="7"/>
    </row>
    <row r="255" spans="1:40">
      <c r="A255" s="7"/>
      <c r="B255" s="33">
        <f t="shared" si="23"/>
        <v>111</v>
      </c>
      <c r="C255" s="38">
        <f t="shared" si="18"/>
        <v>1.85</v>
      </c>
      <c r="D255" s="37"/>
      <c r="E255" s="37" cm="1">
        <f t="array" ref="E255">IF(ISNUMBER(SEARCH(".5",B255)),(E254+E256)/2,INDEX(Regen!$A$1:$Z$123,MATCH(ROUND(B255,0),Regen!$A:$A,0),Berechnung_Retention!$J$9))</f>
        <v>48.564655960000003</v>
      </c>
      <c r="F255" s="37">
        <f t="shared" si="19"/>
        <v>0</v>
      </c>
      <c r="G255" s="37">
        <f t="shared" si="20"/>
        <v>0</v>
      </c>
      <c r="H255" s="37">
        <f t="shared" si="21"/>
        <v>0</v>
      </c>
      <c r="I255" s="37">
        <f t="shared" si="22"/>
        <v>0</v>
      </c>
      <c r="L255" s="33"/>
      <c r="M255" s="38"/>
      <c r="N255" s="37"/>
      <c r="O255" s="37"/>
      <c r="P255" s="37"/>
      <c r="Q255" s="37"/>
      <c r="R255" s="37"/>
      <c r="S255" s="37"/>
      <c r="T255" s="35"/>
      <c r="U255" s="36"/>
      <c r="V255" s="35"/>
      <c r="AE255" s="7"/>
      <c r="AH255" s="7"/>
      <c r="AN255" s="7"/>
    </row>
    <row r="256" spans="1:40">
      <c r="A256" s="7"/>
      <c r="B256" s="33">
        <f t="shared" si="23"/>
        <v>111.5</v>
      </c>
      <c r="C256" s="38">
        <f t="shared" si="18"/>
        <v>1.8583333333333334</v>
      </c>
      <c r="D256" s="37"/>
      <c r="E256" s="37" cm="1">
        <f t="array" ref="E256">IF(ISNUMBER(SEARCH(".5",B256)),(E255+E257)/2,INDEX(Regen!$A$1:$Z$123,MATCH(ROUND(B256,0),Regen!$A:$A,0),Berechnung_Retention!$J$9))</f>
        <v>48.404561764999997</v>
      </c>
      <c r="F256" s="37">
        <f t="shared" si="19"/>
        <v>0</v>
      </c>
      <c r="G256" s="37">
        <f t="shared" si="20"/>
        <v>0</v>
      </c>
      <c r="H256" s="37">
        <f t="shared" si="21"/>
        <v>0</v>
      </c>
      <c r="I256" s="37">
        <f t="shared" si="22"/>
        <v>0</v>
      </c>
      <c r="L256" s="33"/>
      <c r="M256" s="38"/>
      <c r="N256" s="37"/>
      <c r="O256" s="37"/>
      <c r="P256" s="37"/>
      <c r="Q256" s="37"/>
      <c r="R256" s="37"/>
      <c r="S256" s="37"/>
      <c r="T256" s="35"/>
      <c r="U256" s="36"/>
      <c r="V256" s="35"/>
      <c r="AE256" s="7"/>
      <c r="AH256" s="7"/>
      <c r="AN256" s="7"/>
    </row>
    <row r="257" spans="1:40">
      <c r="A257" s="7"/>
      <c r="B257" s="33">
        <f t="shared" si="23"/>
        <v>112</v>
      </c>
      <c r="C257" s="38">
        <f t="shared" si="18"/>
        <v>1.8666666666666667</v>
      </c>
      <c r="D257" s="37"/>
      <c r="E257" s="37" cm="1">
        <f t="array" ref="E257">IF(ISNUMBER(SEARCH(".5",B257)),(E256+E258)/2,INDEX(Regen!$A$1:$Z$123,MATCH(ROUND(B257,0),Regen!$A:$A,0),Berechnung_Retention!$J$9))</f>
        <v>48.244467569999998</v>
      </c>
      <c r="F257" s="37">
        <f t="shared" si="19"/>
        <v>0</v>
      </c>
      <c r="G257" s="37">
        <f t="shared" si="20"/>
        <v>0</v>
      </c>
      <c r="H257" s="37">
        <f t="shared" si="21"/>
        <v>0</v>
      </c>
      <c r="I257" s="37">
        <f t="shared" si="22"/>
        <v>0</v>
      </c>
      <c r="L257" s="33"/>
      <c r="M257" s="38"/>
      <c r="N257" s="37"/>
      <c r="O257" s="37"/>
      <c r="P257" s="37"/>
      <c r="Q257" s="37"/>
      <c r="R257" s="37"/>
      <c r="S257" s="37"/>
      <c r="T257" s="35"/>
      <c r="U257" s="36"/>
      <c r="V257" s="35"/>
      <c r="AE257" s="7"/>
      <c r="AH257" s="7"/>
      <c r="AN257" s="7"/>
    </row>
    <row r="258" spans="1:40">
      <c r="A258" s="7"/>
      <c r="B258" s="33">
        <f t="shared" si="23"/>
        <v>112.5</v>
      </c>
      <c r="C258" s="38">
        <f t="shared" si="18"/>
        <v>1.875</v>
      </c>
      <c r="D258" s="37"/>
      <c r="E258" s="37" cm="1">
        <f t="array" ref="E258">IF(ISNUMBER(SEARCH(".5",B258)),(E257+E259)/2,INDEX(Regen!$A$1:$Z$123,MATCH(ROUND(B258,0),Regen!$A:$A,0),Berechnung_Retention!$J$9))</f>
        <v>48.086925324999996</v>
      </c>
      <c r="F258" s="37">
        <f t="shared" si="19"/>
        <v>0</v>
      </c>
      <c r="G258" s="37">
        <f t="shared" si="20"/>
        <v>0</v>
      </c>
      <c r="H258" s="37">
        <f t="shared" si="21"/>
        <v>0</v>
      </c>
      <c r="I258" s="37">
        <f t="shared" si="22"/>
        <v>0</v>
      </c>
      <c r="L258" s="33"/>
      <c r="M258" s="38"/>
      <c r="N258" s="37"/>
      <c r="O258" s="37"/>
      <c r="P258" s="37"/>
      <c r="Q258" s="37"/>
      <c r="R258" s="37"/>
      <c r="S258" s="37"/>
      <c r="T258" s="35"/>
      <c r="U258" s="36"/>
      <c r="V258" s="35"/>
      <c r="AE258" s="7"/>
      <c r="AH258" s="7"/>
      <c r="AN258" s="7"/>
    </row>
    <row r="259" spans="1:40">
      <c r="A259" s="7"/>
      <c r="B259" s="33">
        <f t="shared" si="23"/>
        <v>113</v>
      </c>
      <c r="C259" s="38">
        <f t="shared" si="18"/>
        <v>1.8833333333333333</v>
      </c>
      <c r="D259" s="37"/>
      <c r="E259" s="37" cm="1">
        <f t="array" ref="E259">IF(ISNUMBER(SEARCH(".5",B259)),(E258+E260)/2,INDEX(Regen!$A$1:$Z$123,MATCH(ROUND(B259,0),Regen!$A:$A,0),Berechnung_Retention!$J$9))</f>
        <v>47.929383080000001</v>
      </c>
      <c r="F259" s="37">
        <f t="shared" si="19"/>
        <v>0</v>
      </c>
      <c r="G259" s="37">
        <f t="shared" si="20"/>
        <v>0</v>
      </c>
      <c r="H259" s="37">
        <f t="shared" si="21"/>
        <v>0</v>
      </c>
      <c r="I259" s="37">
        <f t="shared" si="22"/>
        <v>0</v>
      </c>
      <c r="L259" s="33"/>
      <c r="M259" s="38"/>
      <c r="N259" s="37"/>
      <c r="O259" s="37"/>
      <c r="P259" s="37"/>
      <c r="Q259" s="37"/>
      <c r="R259" s="37"/>
      <c r="S259" s="37"/>
      <c r="T259" s="35"/>
      <c r="U259" s="36"/>
      <c r="V259" s="35"/>
      <c r="AE259" s="7"/>
      <c r="AH259" s="7"/>
      <c r="AN259" s="7"/>
    </row>
    <row r="260" spans="1:40">
      <c r="A260" s="7"/>
      <c r="B260" s="33">
        <f t="shared" si="23"/>
        <v>113.5</v>
      </c>
      <c r="C260" s="38">
        <f t="shared" si="18"/>
        <v>1.8916666666666666</v>
      </c>
      <c r="D260" s="37"/>
      <c r="E260" s="37" cm="1">
        <f t="array" ref="E260">IF(ISNUMBER(SEARCH(".5",B260)),(E259+E261)/2,INDEX(Regen!$A$1:$Z$123,MATCH(ROUND(B260,0),Regen!$A:$A,0),Berechnung_Retention!$J$9))</f>
        <v>47.774329469999998</v>
      </c>
      <c r="F260" s="37">
        <f t="shared" si="19"/>
        <v>0</v>
      </c>
      <c r="G260" s="37">
        <f t="shared" si="20"/>
        <v>0</v>
      </c>
      <c r="H260" s="37">
        <f t="shared" si="21"/>
        <v>0</v>
      </c>
      <c r="I260" s="37">
        <f t="shared" si="22"/>
        <v>0</v>
      </c>
      <c r="L260" s="33"/>
      <c r="M260" s="38"/>
      <c r="N260" s="37"/>
      <c r="O260" s="37"/>
      <c r="P260" s="37"/>
      <c r="Q260" s="37"/>
      <c r="R260" s="37"/>
      <c r="S260" s="37"/>
      <c r="T260" s="35"/>
      <c r="U260" s="36"/>
      <c r="V260" s="35"/>
      <c r="AE260" s="7"/>
      <c r="AH260" s="7"/>
      <c r="AN260" s="7"/>
    </row>
    <row r="261" spans="1:40">
      <c r="A261" s="7"/>
      <c r="B261" s="33">
        <f t="shared" si="23"/>
        <v>114</v>
      </c>
      <c r="C261" s="38">
        <f t="shared" si="18"/>
        <v>1.9</v>
      </c>
      <c r="D261" s="37"/>
      <c r="E261" s="37" cm="1">
        <f t="array" ref="E261">IF(ISNUMBER(SEARCH(".5",B261)),(E260+E262)/2,INDEX(Regen!$A$1:$Z$123,MATCH(ROUND(B261,0),Regen!$A:$A,0),Berechnung_Retention!$J$9))</f>
        <v>47.619275860000002</v>
      </c>
      <c r="F261" s="37">
        <f t="shared" si="19"/>
        <v>0</v>
      </c>
      <c r="G261" s="37">
        <f t="shared" si="20"/>
        <v>0</v>
      </c>
      <c r="H261" s="37">
        <f t="shared" si="21"/>
        <v>0</v>
      </c>
      <c r="I261" s="37">
        <f t="shared" si="22"/>
        <v>0</v>
      </c>
      <c r="L261" s="33"/>
      <c r="M261" s="38"/>
      <c r="N261" s="37"/>
      <c r="O261" s="37"/>
      <c r="P261" s="37"/>
      <c r="Q261" s="37"/>
      <c r="R261" s="37"/>
      <c r="S261" s="37"/>
      <c r="T261" s="35"/>
      <c r="U261" s="36"/>
      <c r="V261" s="35"/>
      <c r="AE261" s="7"/>
      <c r="AH261" s="7"/>
      <c r="AN261" s="7"/>
    </row>
    <row r="262" spans="1:40">
      <c r="A262" s="7"/>
      <c r="B262" s="33">
        <f t="shared" si="23"/>
        <v>114.5</v>
      </c>
      <c r="C262" s="38">
        <f t="shared" si="18"/>
        <v>1.9083333333333334</v>
      </c>
      <c r="D262" s="37"/>
      <c r="E262" s="37" cm="1">
        <f t="array" ref="E262">IF(ISNUMBER(SEARCH(".5",B262)),(E261+E263)/2,INDEX(Regen!$A$1:$Z$123,MATCH(ROUND(B262,0),Regen!$A:$A,0),Berechnung_Retention!$J$9))</f>
        <v>47.466649685</v>
      </c>
      <c r="F262" s="37">
        <f t="shared" si="19"/>
        <v>0</v>
      </c>
      <c r="G262" s="37">
        <f t="shared" si="20"/>
        <v>0</v>
      </c>
      <c r="H262" s="37">
        <f t="shared" si="21"/>
        <v>0</v>
      </c>
      <c r="I262" s="37">
        <f t="shared" si="22"/>
        <v>0</v>
      </c>
      <c r="L262" s="33"/>
      <c r="M262" s="38"/>
      <c r="N262" s="37"/>
      <c r="O262" s="37"/>
      <c r="P262" s="37"/>
      <c r="Q262" s="37"/>
      <c r="R262" s="37"/>
      <c r="S262" s="37"/>
      <c r="T262" s="35"/>
      <c r="U262" s="36"/>
      <c r="V262" s="35"/>
      <c r="AE262" s="7"/>
      <c r="AH262" s="7"/>
      <c r="AN262" s="7"/>
    </row>
    <row r="263" spans="1:40">
      <c r="A263" s="7"/>
      <c r="B263" s="33">
        <f t="shared" si="23"/>
        <v>115</v>
      </c>
      <c r="C263" s="38">
        <f t="shared" si="18"/>
        <v>1.9166666666666667</v>
      </c>
      <c r="D263" s="37"/>
      <c r="E263" s="37" cm="1">
        <f t="array" ref="E263">IF(ISNUMBER(SEARCH(".5",B263)),(E262+E264)/2,INDEX(Regen!$A$1:$Z$123,MATCH(ROUND(B263,0),Regen!$A:$A,0),Berechnung_Retention!$J$9))</f>
        <v>47.314023509999998</v>
      </c>
      <c r="F263" s="37">
        <f t="shared" si="19"/>
        <v>0</v>
      </c>
      <c r="G263" s="37">
        <f t="shared" si="20"/>
        <v>0</v>
      </c>
      <c r="H263" s="37">
        <f t="shared" si="21"/>
        <v>0</v>
      </c>
      <c r="I263" s="37">
        <f t="shared" si="22"/>
        <v>0</v>
      </c>
      <c r="L263" s="33"/>
      <c r="M263" s="38"/>
      <c r="N263" s="37"/>
      <c r="O263" s="37"/>
      <c r="P263" s="37"/>
      <c r="Q263" s="37"/>
      <c r="R263" s="37"/>
      <c r="S263" s="37"/>
      <c r="T263" s="35"/>
      <c r="U263" s="36"/>
      <c r="V263" s="35"/>
      <c r="AE263" s="7"/>
      <c r="AH263" s="7"/>
      <c r="AN263" s="7"/>
    </row>
    <row r="264" spans="1:40">
      <c r="A264" s="7"/>
      <c r="B264" s="33">
        <f t="shared" si="23"/>
        <v>115.5</v>
      </c>
      <c r="C264" s="38">
        <f t="shared" si="18"/>
        <v>1.925</v>
      </c>
      <c r="D264" s="37"/>
      <c r="E264" s="37" cm="1">
        <f t="array" ref="E264">IF(ISNUMBER(SEARCH(".5",B264)),(E263+E265)/2,INDEX(Regen!$A$1:$Z$123,MATCH(ROUND(B264,0),Regen!$A:$A,0),Berechnung_Retention!$J$9))</f>
        <v>47.163765589999997</v>
      </c>
      <c r="F264" s="37">
        <f t="shared" si="19"/>
        <v>0</v>
      </c>
      <c r="G264" s="37">
        <f t="shared" si="20"/>
        <v>0</v>
      </c>
      <c r="H264" s="37">
        <f t="shared" si="21"/>
        <v>0</v>
      </c>
      <c r="I264" s="37">
        <f t="shared" si="22"/>
        <v>0</v>
      </c>
      <c r="L264" s="33"/>
      <c r="M264" s="38"/>
      <c r="N264" s="37"/>
      <c r="O264" s="37"/>
      <c r="P264" s="37"/>
      <c r="Q264" s="37"/>
      <c r="R264" s="37"/>
      <c r="S264" s="37"/>
      <c r="T264" s="35"/>
      <c r="U264" s="36"/>
      <c r="V264" s="35"/>
      <c r="AE264" s="7"/>
      <c r="AH264" s="7"/>
      <c r="AN264" s="7"/>
    </row>
    <row r="265" spans="1:40">
      <c r="A265" s="7"/>
      <c r="B265" s="33">
        <f t="shared" si="23"/>
        <v>116</v>
      </c>
      <c r="C265" s="38">
        <f t="shared" si="18"/>
        <v>1.9333333333333333</v>
      </c>
      <c r="D265" s="37"/>
      <c r="E265" s="37" cm="1">
        <f t="array" ref="E265">IF(ISNUMBER(SEARCH(".5",B265)),(E264+E266)/2,INDEX(Regen!$A$1:$Z$123,MATCH(ROUND(B265,0),Regen!$A:$A,0),Berechnung_Retention!$J$9))</f>
        <v>47.013507670000003</v>
      </c>
      <c r="F265" s="37">
        <f t="shared" si="19"/>
        <v>0</v>
      </c>
      <c r="G265" s="37">
        <f t="shared" si="20"/>
        <v>0</v>
      </c>
      <c r="H265" s="37">
        <f t="shared" si="21"/>
        <v>0</v>
      </c>
      <c r="I265" s="37">
        <f t="shared" si="22"/>
        <v>0</v>
      </c>
      <c r="L265" s="33"/>
      <c r="M265" s="38"/>
      <c r="N265" s="37"/>
      <c r="O265" s="37"/>
      <c r="P265" s="37"/>
      <c r="Q265" s="37"/>
      <c r="R265" s="37"/>
      <c r="S265" s="37"/>
      <c r="T265" s="35"/>
      <c r="U265" s="36"/>
      <c r="V265" s="35"/>
      <c r="AE265" s="7"/>
      <c r="AH265" s="7"/>
      <c r="AN265" s="7"/>
    </row>
    <row r="266" spans="1:40">
      <c r="A266" s="7"/>
      <c r="B266" s="33">
        <f t="shared" si="23"/>
        <v>116.5</v>
      </c>
      <c r="C266" s="38">
        <f t="shared" si="18"/>
        <v>1.9416666666666667</v>
      </c>
      <c r="D266" s="37"/>
      <c r="E266" s="37" cm="1">
        <f t="array" ref="E266">IF(ISNUMBER(SEARCH(".5",B266)),(E265+E267)/2,INDEX(Regen!$A$1:$Z$123,MATCH(ROUND(B266,0),Regen!$A:$A,0),Berechnung_Retention!$J$9))</f>
        <v>46.865560775000006</v>
      </c>
      <c r="F266" s="37">
        <f t="shared" si="19"/>
        <v>0</v>
      </c>
      <c r="G266" s="37">
        <f t="shared" si="20"/>
        <v>0</v>
      </c>
      <c r="H266" s="37">
        <f t="shared" si="21"/>
        <v>0</v>
      </c>
      <c r="I266" s="37">
        <f t="shared" si="22"/>
        <v>0</v>
      </c>
      <c r="L266" s="33"/>
      <c r="M266" s="38"/>
      <c r="N266" s="37"/>
      <c r="O266" s="37"/>
      <c r="P266" s="37"/>
      <c r="Q266" s="37"/>
      <c r="R266" s="37"/>
      <c r="S266" s="37"/>
      <c r="T266" s="35"/>
      <c r="U266" s="36"/>
      <c r="V266" s="35"/>
      <c r="AE266" s="7"/>
      <c r="AH266" s="7"/>
      <c r="AN266" s="7"/>
    </row>
    <row r="267" spans="1:40">
      <c r="A267" s="7"/>
      <c r="B267" s="33">
        <f t="shared" si="23"/>
        <v>117</v>
      </c>
      <c r="C267" s="38">
        <f t="shared" si="18"/>
        <v>1.95</v>
      </c>
      <c r="D267" s="37"/>
      <c r="E267" s="37" cm="1">
        <f t="array" ref="E267">IF(ISNUMBER(SEARCH(".5",B267)),(E266+E268)/2,INDEX(Regen!$A$1:$Z$123,MATCH(ROUND(B267,0),Regen!$A:$A,0),Berechnung_Retention!$J$9))</f>
        <v>46.717613880000002</v>
      </c>
      <c r="F267" s="37">
        <f t="shared" si="19"/>
        <v>0</v>
      </c>
      <c r="G267" s="37">
        <f t="shared" si="20"/>
        <v>0</v>
      </c>
      <c r="H267" s="37">
        <f t="shared" si="21"/>
        <v>0</v>
      </c>
      <c r="I267" s="37">
        <f t="shared" si="22"/>
        <v>0</v>
      </c>
      <c r="L267" s="33"/>
      <c r="M267" s="38"/>
      <c r="N267" s="37"/>
      <c r="O267" s="37"/>
      <c r="P267" s="37"/>
      <c r="Q267" s="37"/>
      <c r="R267" s="37"/>
      <c r="S267" s="37"/>
      <c r="T267" s="35"/>
      <c r="U267" s="36"/>
      <c r="V267" s="35"/>
      <c r="AE267" s="7"/>
      <c r="AH267" s="7"/>
      <c r="AN267" s="7"/>
    </row>
    <row r="268" spans="1:40">
      <c r="A268" s="7"/>
      <c r="B268" s="33">
        <f t="shared" si="23"/>
        <v>117.5</v>
      </c>
      <c r="C268" s="38">
        <f t="shared" si="18"/>
        <v>1.9583333333333333</v>
      </c>
      <c r="D268" s="37"/>
      <c r="E268" s="37" cm="1">
        <f t="array" ref="E268">IF(ISNUMBER(SEARCH(".5",B268)),(E267+E269)/2,INDEX(Regen!$A$1:$Z$123,MATCH(ROUND(B268,0),Regen!$A:$A,0),Berechnung_Retention!$J$9))</f>
        <v>46.571922650000005</v>
      </c>
      <c r="F268" s="37">
        <f t="shared" si="19"/>
        <v>0</v>
      </c>
      <c r="G268" s="37">
        <f t="shared" si="20"/>
        <v>0</v>
      </c>
      <c r="H268" s="37">
        <f t="shared" si="21"/>
        <v>0</v>
      </c>
      <c r="I268" s="37">
        <f t="shared" si="22"/>
        <v>0</v>
      </c>
      <c r="L268" s="33"/>
      <c r="M268" s="38"/>
      <c r="N268" s="37"/>
      <c r="O268" s="37"/>
      <c r="P268" s="37"/>
      <c r="Q268" s="37"/>
      <c r="R268" s="37"/>
      <c r="S268" s="37"/>
      <c r="T268" s="35"/>
      <c r="U268" s="36"/>
      <c r="V268" s="35"/>
      <c r="AE268" s="7"/>
      <c r="AH268" s="7"/>
      <c r="AN268" s="7"/>
    </row>
    <row r="269" spans="1:40">
      <c r="A269" s="7"/>
      <c r="B269" s="33">
        <f t="shared" si="23"/>
        <v>118</v>
      </c>
      <c r="C269" s="38">
        <f t="shared" si="18"/>
        <v>1.9666666666666666</v>
      </c>
      <c r="D269" s="37"/>
      <c r="E269" s="37" cm="1">
        <f t="array" ref="E269">IF(ISNUMBER(SEARCH(".5",B269)),(E268+E270)/2,INDEX(Regen!$A$1:$Z$123,MATCH(ROUND(B269,0),Regen!$A:$A,0),Berechnung_Retention!$J$9))</f>
        <v>46.426231420000001</v>
      </c>
      <c r="F269" s="37">
        <f t="shared" si="19"/>
        <v>0</v>
      </c>
      <c r="G269" s="37">
        <f t="shared" si="20"/>
        <v>0</v>
      </c>
      <c r="H269" s="37">
        <f t="shared" si="21"/>
        <v>0</v>
      </c>
      <c r="I269" s="37">
        <f t="shared" si="22"/>
        <v>0</v>
      </c>
      <c r="L269" s="33"/>
      <c r="M269" s="38"/>
      <c r="N269" s="37"/>
      <c r="O269" s="37"/>
      <c r="P269" s="37"/>
      <c r="Q269" s="37"/>
      <c r="R269" s="37"/>
      <c r="S269" s="37"/>
      <c r="T269" s="35"/>
      <c r="U269" s="36"/>
      <c r="V269" s="35"/>
      <c r="AE269" s="7"/>
      <c r="AH269" s="7"/>
      <c r="AN269" s="7"/>
    </row>
    <row r="270" spans="1:40">
      <c r="A270" s="7"/>
      <c r="B270" s="33">
        <f t="shared" si="23"/>
        <v>118.5</v>
      </c>
      <c r="C270" s="38">
        <f t="shared" si="18"/>
        <v>1.9750000000000001</v>
      </c>
      <c r="D270" s="37"/>
      <c r="E270" s="37" cm="1">
        <f t="array" ref="E270">IF(ISNUMBER(SEARCH(".5",B270)),(E269+E271)/2,INDEX(Regen!$A$1:$Z$123,MATCH(ROUND(B270,0),Regen!$A:$A,0),Berechnung_Retention!$J$9))</f>
        <v>46.282742275000004</v>
      </c>
      <c r="F270" s="37">
        <f t="shared" si="19"/>
        <v>0</v>
      </c>
      <c r="G270" s="37">
        <f t="shared" si="20"/>
        <v>0</v>
      </c>
      <c r="H270" s="37">
        <f t="shared" si="21"/>
        <v>0</v>
      </c>
      <c r="I270" s="37">
        <f t="shared" si="22"/>
        <v>0</v>
      </c>
      <c r="L270" s="33"/>
      <c r="M270" s="38"/>
      <c r="N270" s="37"/>
      <c r="O270" s="37"/>
      <c r="P270" s="37"/>
      <c r="Q270" s="37"/>
      <c r="R270" s="37"/>
      <c r="S270" s="37"/>
      <c r="T270" s="35"/>
      <c r="U270" s="36"/>
      <c r="V270" s="35"/>
      <c r="AE270" s="7"/>
      <c r="AH270" s="7"/>
      <c r="AN270" s="7"/>
    </row>
    <row r="271" spans="1:40">
      <c r="A271" s="7"/>
      <c r="B271" s="33">
        <f t="shared" si="23"/>
        <v>119</v>
      </c>
      <c r="C271" s="38">
        <f t="shared" si="18"/>
        <v>1.9833333333333334</v>
      </c>
      <c r="D271" s="37"/>
      <c r="E271" s="37" cm="1">
        <f t="array" ref="E271">IF(ISNUMBER(SEARCH(".5",B271)),(E270+E272)/2,INDEX(Regen!$A$1:$Z$123,MATCH(ROUND(B271,0),Regen!$A:$A,0),Berechnung_Retention!$J$9))</f>
        <v>46.13925313</v>
      </c>
      <c r="F271" s="37">
        <f t="shared" si="19"/>
        <v>0</v>
      </c>
      <c r="G271" s="37">
        <f t="shared" si="20"/>
        <v>0</v>
      </c>
      <c r="H271" s="37">
        <f t="shared" si="21"/>
        <v>0</v>
      </c>
      <c r="I271" s="37">
        <f t="shared" si="22"/>
        <v>0</v>
      </c>
      <c r="L271" s="33"/>
      <c r="M271" s="38"/>
      <c r="N271" s="37"/>
      <c r="O271" s="37"/>
      <c r="P271" s="37"/>
      <c r="Q271" s="37"/>
      <c r="R271" s="37"/>
      <c r="S271" s="37"/>
      <c r="T271" s="35"/>
      <c r="U271" s="36"/>
      <c r="V271" s="35"/>
      <c r="AE271" s="7"/>
      <c r="AH271" s="7"/>
      <c r="AN271" s="7"/>
    </row>
    <row r="272" spans="1:40">
      <c r="A272" s="7"/>
      <c r="B272" s="33">
        <f t="shared" si="23"/>
        <v>119.5</v>
      </c>
      <c r="C272" s="38">
        <f t="shared" si="18"/>
        <v>1.9916666666666667</v>
      </c>
      <c r="D272" s="37"/>
      <c r="E272" s="37" cm="1">
        <f t="array" ref="E272">IF(ISNUMBER(SEARCH(".5",B272)),(E271+E273)/2,INDEX(Regen!$A$1:$Z$123,MATCH(ROUND(B272,0),Regen!$A:$A,0),Berechnung_Retention!$J$9))</f>
        <v>45.997914210000005</v>
      </c>
      <c r="F272" s="37">
        <f t="shared" si="19"/>
        <v>0</v>
      </c>
      <c r="G272" s="37">
        <f t="shared" si="20"/>
        <v>0</v>
      </c>
      <c r="H272" s="37">
        <f t="shared" si="21"/>
        <v>0</v>
      </c>
      <c r="I272" s="37">
        <f t="shared" si="22"/>
        <v>0</v>
      </c>
      <c r="L272" s="33"/>
      <c r="M272" s="38"/>
      <c r="N272" s="37"/>
      <c r="O272" s="37"/>
      <c r="P272" s="37"/>
      <c r="Q272" s="37"/>
      <c r="R272" s="37"/>
      <c r="S272" s="37"/>
      <c r="T272" s="35"/>
      <c r="U272" s="36"/>
      <c r="V272" s="35"/>
      <c r="AE272" s="7"/>
      <c r="AH272" s="7"/>
      <c r="AN272" s="7"/>
    </row>
    <row r="273" spans="1:40">
      <c r="A273" s="7"/>
      <c r="B273" s="33">
        <f t="shared" si="23"/>
        <v>120</v>
      </c>
      <c r="C273" s="38">
        <f t="shared" si="18"/>
        <v>2</v>
      </c>
      <c r="D273" s="37"/>
      <c r="E273" s="37" cm="1">
        <f t="array" ref="E273">IF(ISNUMBER(SEARCH(".5",B273)),(E272+E274)/2,INDEX(Regen!$A$1:$Z$123,MATCH(ROUND(B273,0),Regen!$A:$A,0),Berechnung_Retention!$J$9))</f>
        <v>45.856575290000002</v>
      </c>
      <c r="F273" s="37">
        <f t="shared" si="19"/>
        <v>0</v>
      </c>
      <c r="G273" s="37">
        <f t="shared" si="20"/>
        <v>0</v>
      </c>
      <c r="H273" s="37">
        <f t="shared" si="21"/>
        <v>0</v>
      </c>
      <c r="I273" s="37">
        <f t="shared" si="22"/>
        <v>0</v>
      </c>
      <c r="M273" s="7"/>
      <c r="N273" s="7"/>
      <c r="O273" s="7"/>
      <c r="P273" s="7"/>
      <c r="Q273" s="7"/>
      <c r="T273" s="35"/>
      <c r="U273" s="36"/>
      <c r="V273" s="35"/>
      <c r="AE273" s="7"/>
      <c r="AH273" s="7"/>
      <c r="AN273" s="7"/>
    </row>
    <row r="274" spans="1:40">
      <c r="A274" s="7"/>
      <c r="B274" s="33"/>
      <c r="C274" s="7"/>
      <c r="D274" s="7"/>
      <c r="E274" s="7"/>
      <c r="F274" s="7"/>
      <c r="G274" s="7"/>
      <c r="M274" s="7"/>
      <c r="N274" s="7"/>
      <c r="O274" s="7"/>
      <c r="P274" s="7"/>
      <c r="Q274" s="7"/>
      <c r="AE274" s="7"/>
      <c r="AH274" s="7"/>
      <c r="AN274" s="7"/>
    </row>
    <row r="275" spans="1:40">
      <c r="A275" s="7"/>
      <c r="B275" s="33"/>
      <c r="C275" s="7"/>
      <c r="D275" s="7"/>
      <c r="E275" s="7"/>
      <c r="F275" s="7"/>
      <c r="G275" s="7"/>
      <c r="M275" s="7"/>
      <c r="N275" s="7"/>
      <c r="O275" s="7"/>
      <c r="P275" s="7"/>
      <c r="Q275" s="7"/>
      <c r="AE275" s="7"/>
      <c r="AH275" s="7"/>
      <c r="AN275" s="7"/>
    </row>
    <row r="276" spans="1:40">
      <c r="A276" s="7"/>
      <c r="B276" s="33"/>
      <c r="C276" s="7"/>
      <c r="D276" s="7"/>
      <c r="E276" s="7"/>
      <c r="F276" s="7"/>
      <c r="G276" s="7"/>
      <c r="L276" s="7"/>
      <c r="M276" s="7"/>
      <c r="N276" s="7"/>
      <c r="O276" s="7"/>
      <c r="P276" s="7"/>
      <c r="AE276" s="7"/>
      <c r="AH276" s="7"/>
      <c r="AN276" s="7"/>
    </row>
    <row r="277" spans="1:40">
      <c r="L277" s="7"/>
      <c r="M277" s="7"/>
      <c r="N277" s="7"/>
      <c r="O277" s="7"/>
      <c r="P277" s="7"/>
    </row>
    <row r="278" spans="1:40">
      <c r="L278" s="7"/>
      <c r="M278" s="7"/>
      <c r="N278" s="7"/>
      <c r="O278" s="7"/>
      <c r="P278" s="7"/>
    </row>
    <row r="279" spans="1:40">
      <c r="L279" s="7"/>
      <c r="M279" s="7"/>
      <c r="N279" s="7"/>
      <c r="O279" s="7"/>
      <c r="P279" s="7"/>
    </row>
    <row r="280" spans="1:40">
      <c r="L280" s="7"/>
      <c r="M280" s="7"/>
      <c r="N280" s="7"/>
      <c r="O280" s="7"/>
      <c r="P280" s="7"/>
    </row>
    <row r="281" spans="1:40">
      <c r="L281" s="7"/>
      <c r="M281" s="7"/>
      <c r="N281" s="7"/>
      <c r="O281" s="7"/>
      <c r="P281" s="7"/>
    </row>
  </sheetData>
  <sheetProtection selectLockedCells="1" selectUnlockedCells="1"/>
  <pageMargins left="0.78740157499999996" right="0.78740157499999996" top="0.984251969" bottom="0.984251969" header="0.4921259845" footer="0.4921259845"/>
  <pageSetup paperSize="8" scale="26"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B17A9-5EE0-4CE7-B563-5C9991F4120D}">
  <sheetPr codeName="Tabelle8">
    <pageSetUpPr fitToPage="1"/>
  </sheetPr>
  <dimension ref="A1:AX281"/>
  <sheetViews>
    <sheetView zoomScale="85" zoomScaleNormal="85" workbookViewId="0">
      <selection activeCell="Q2" sqref="Q2"/>
    </sheetView>
  </sheetViews>
  <sheetFormatPr baseColWidth="10" defaultColWidth="11.42578125" defaultRowHeight="12.75"/>
  <cols>
    <col min="1" max="1" width="48.140625" style="31" customWidth="1"/>
    <col min="2" max="2" width="11.42578125" style="31"/>
    <col min="3" max="3" width="14.5703125" style="31" customWidth="1"/>
    <col min="4" max="7" width="11.42578125" style="31"/>
    <col min="8" max="8" width="23.85546875" style="31" customWidth="1"/>
    <col min="9" max="10" width="19" style="31" customWidth="1"/>
    <col min="11" max="11" width="11.42578125" style="31"/>
    <col min="12" max="12" width="18.28515625" style="31" customWidth="1"/>
    <col min="13" max="13" width="11.42578125" style="31"/>
    <col min="14" max="14" width="8.140625" style="31" customWidth="1"/>
    <col min="15" max="15" width="7.5703125" style="31" customWidth="1"/>
    <col min="16" max="16" width="14.28515625" style="31" bestFit="1" customWidth="1"/>
    <col min="17" max="17" width="11.42578125" style="31"/>
    <col min="18" max="18" width="7" style="31" customWidth="1"/>
    <col min="19" max="19" width="13.42578125" style="31" customWidth="1"/>
    <col min="20" max="20" width="11.42578125" style="31"/>
    <col min="21" max="21" width="8.140625" style="31" customWidth="1"/>
    <col min="22" max="22" width="15.28515625" style="31" bestFit="1" customWidth="1"/>
    <col min="23" max="23" width="11.42578125" style="31"/>
    <col min="24" max="24" width="5.85546875" style="31" customWidth="1"/>
    <col min="25" max="25" width="11.42578125" style="31"/>
    <col min="26" max="26" width="11.42578125" style="32"/>
    <col min="27" max="27" width="2.5703125" style="31" customWidth="1"/>
    <col min="28" max="28" width="16.7109375" style="31" bestFit="1" customWidth="1"/>
    <col min="29" max="29" width="11.42578125" style="31"/>
    <col min="30" max="30" width="3.42578125" style="31" customWidth="1"/>
    <col min="31" max="31" width="13.42578125" style="31" bestFit="1" customWidth="1"/>
    <col min="32" max="32" width="11.42578125" style="31"/>
    <col min="33" max="33" width="3.42578125" style="31" customWidth="1"/>
    <col min="34" max="34" width="13.42578125" style="31" bestFit="1" customWidth="1"/>
    <col min="35" max="35" width="11.42578125" style="31"/>
    <col min="36" max="36" width="4" style="31" customWidth="1"/>
    <col min="37" max="37" width="20.85546875" style="31" customWidth="1"/>
    <col min="38" max="38" width="11.42578125" style="31"/>
    <col min="39" max="39" width="2.85546875" style="31" customWidth="1"/>
    <col min="40" max="40" width="22.7109375" style="31" bestFit="1" customWidth="1"/>
    <col min="41" max="41" width="11.42578125" style="31"/>
    <col min="42" max="42" width="3.7109375" style="31" customWidth="1"/>
    <col min="43" max="43" width="19.85546875" style="31" bestFit="1" customWidth="1"/>
    <col min="44" max="44" width="11.42578125" style="31"/>
    <col min="45" max="45" width="3.5703125" style="31" customWidth="1"/>
    <col min="46" max="46" width="29.7109375" style="31" bestFit="1" customWidth="1"/>
    <col min="47" max="47" width="11.42578125" style="31"/>
    <col min="48" max="48" width="3.5703125" style="31" customWidth="1"/>
    <col min="49" max="49" width="16.140625" style="31" customWidth="1"/>
    <col min="50" max="50" width="11.42578125" style="31"/>
    <col min="51" max="51" width="3.5703125" style="31" customWidth="1"/>
    <col min="52" max="52" width="13" style="31" customWidth="1"/>
    <col min="53" max="53" width="11.42578125" style="31"/>
    <col min="54" max="54" width="3.5703125" style="31" customWidth="1"/>
    <col min="55" max="55" width="13" style="31" customWidth="1"/>
    <col min="56" max="56" width="11.42578125" style="31"/>
    <col min="57" max="57" width="2.5703125" style="31" customWidth="1"/>
    <col min="58" max="58" width="14.42578125" style="31" bestFit="1" customWidth="1"/>
    <col min="59" max="59" width="11.42578125" style="31"/>
    <col min="60" max="60" width="2.5703125" style="31" customWidth="1"/>
    <col min="61" max="61" width="14.42578125" style="31" bestFit="1" customWidth="1"/>
    <col min="62" max="62" width="11.42578125" style="31"/>
    <col min="63" max="63" width="2.85546875" style="31" customWidth="1"/>
    <col min="64" max="64" width="19.85546875" style="31" bestFit="1" customWidth="1"/>
    <col min="65" max="16384" width="11.42578125" style="31"/>
  </cols>
  <sheetData>
    <row r="1" spans="1:26" ht="20.25">
      <c r="A1" s="67" t="s">
        <v>275</v>
      </c>
      <c r="Q1" s="31" t="str" cm="1">
        <f t="array" ref="Q1">_xlfn._xlws.FILTER(Abflussbeiwerte[Zone],(Abflussbeiwerte[Gemeindenr] = "Gemeinde"&amp;B8),"Nothing Found")</f>
        <v>Alle Zonen</v>
      </c>
    </row>
    <row r="2" spans="1:26" ht="15.75">
      <c r="A2" s="66"/>
    </row>
    <row r="4" spans="1:26">
      <c r="A4" s="34"/>
      <c r="Z4" s="31"/>
    </row>
    <row r="5" spans="1:26">
      <c r="Z5" s="31"/>
    </row>
    <row r="6" spans="1:26">
      <c r="A6" s="34" t="s">
        <v>164</v>
      </c>
      <c r="D6" s="64" t="s">
        <v>163</v>
      </c>
      <c r="Z6" s="31"/>
    </row>
    <row r="7" spans="1:26">
      <c r="A7" s="34"/>
      <c r="E7" s="65"/>
      <c r="Z7" s="31"/>
    </row>
    <row r="8" spans="1:26">
      <c r="A8" s="31" t="s">
        <v>162</v>
      </c>
      <c r="B8" s="57">
        <v>23</v>
      </c>
      <c r="D8" s="31" t="s">
        <v>155</v>
      </c>
      <c r="H8" s="31" t="s">
        <v>179</v>
      </c>
      <c r="J8" s="31" t="s">
        <v>181</v>
      </c>
      <c r="Z8" s="31"/>
    </row>
    <row r="9" spans="1:26">
      <c r="A9" s="31" t="s">
        <v>178</v>
      </c>
      <c r="B9" s="70" t="str">
        <f>VLOOKUP(B8,Auswahlliste!D2:F82,3,FALSE)</f>
        <v>Wartau</v>
      </c>
      <c r="H9" s="31">
        <f>MATCH(B9,Regen!A1:Z1,0)</f>
        <v>11</v>
      </c>
      <c r="I9" s="31" t="str">
        <f>SUBSTITUTE(ADDRESS(1,MATCH(B9,Regen!A1:W1,0),4),"1","")</f>
        <v>K</v>
      </c>
      <c r="J9" s="31">
        <f>MATCH(B9,Regen!A1:Z1,0)-1+B10</f>
        <v>14</v>
      </c>
      <c r="Z9" s="31"/>
    </row>
    <row r="10" spans="1:26">
      <c r="A10" s="65" t="s">
        <v>121</v>
      </c>
      <c r="B10" s="142">
        <v>4</v>
      </c>
      <c r="D10" s="31" t="s">
        <v>155</v>
      </c>
      <c r="H10" s="31">
        <f>MATCH(B9,Regen!A1:Z1,0)+3</f>
        <v>14</v>
      </c>
      <c r="I10" s="31" t="str">
        <f>SUBSTITUTE(ADDRESS(1,MATCH(B9,Regen!A1:W1,0)+3,4),"1","")</f>
        <v>N</v>
      </c>
      <c r="Z10" s="31"/>
    </row>
    <row r="11" spans="1:26">
      <c r="A11" s="31" t="s">
        <v>654</v>
      </c>
      <c r="B11" s="63">
        <f>Versickerungsanlage!K49/10000</f>
        <v>2.7799999999999998E-2</v>
      </c>
      <c r="C11" s="31" t="s">
        <v>161</v>
      </c>
      <c r="D11" s="93" t="s">
        <v>250</v>
      </c>
      <c r="Z11" s="31"/>
    </row>
    <row r="12" spans="1:26" ht="15.75">
      <c r="A12" s="31" t="s">
        <v>160</v>
      </c>
      <c r="B12" s="63">
        <f>IF(Versickerungsanlage!N49="",0,Versickerungsanlage!N49/10000)</f>
        <v>2.648E-2</v>
      </c>
      <c r="C12" s="31" t="s">
        <v>159</v>
      </c>
      <c r="D12" s="93" t="s">
        <v>250</v>
      </c>
      <c r="Z12" s="31"/>
    </row>
    <row r="13" spans="1:26" ht="15.75">
      <c r="A13" s="31" t="s">
        <v>657</v>
      </c>
      <c r="B13" s="62">
        <f>Versickerungsanlage!E57</f>
        <v>0</v>
      </c>
      <c r="D13" s="93" t="s">
        <v>250</v>
      </c>
      <c r="H13" s="31" t="s">
        <v>180</v>
      </c>
      <c r="Z13" s="31"/>
    </row>
    <row r="14" spans="1:26" ht="15.75">
      <c r="A14" s="65" t="s">
        <v>658</v>
      </c>
      <c r="B14" s="61">
        <f>B11*B13*J18</f>
        <v>0</v>
      </c>
      <c r="C14" s="31" t="s">
        <v>117</v>
      </c>
      <c r="D14" s="65" t="s">
        <v>650</v>
      </c>
      <c r="H14" s="31">
        <f>MATCH(B35,Regen!A:A,0)</f>
        <v>4</v>
      </c>
      <c r="I14" s="31" cm="1">
        <f t="array" ref="I14">INDEX(Regen!A4:Z123,10,Berechnung_Versickerung!H9)</f>
        <v>117.94635700000001</v>
      </c>
      <c r="Z14" s="31"/>
    </row>
    <row r="15" spans="1:26" ht="15.75">
      <c r="A15" s="60" t="s">
        <v>653</v>
      </c>
      <c r="B15" s="59">
        <f>IF(B12=0,"---",B14/B12)</f>
        <v>0</v>
      </c>
      <c r="C15" s="31" t="s">
        <v>157</v>
      </c>
      <c r="D15" s="58" t="s">
        <v>156</v>
      </c>
      <c r="I15" s="34" cm="1">
        <f t="array" ref="I15">INDEX(Regen!A1:Z123,MATCH(B43,Regen!A:A,0),Berechnung_Versickerung!J9)</f>
        <v>543.31733159999999</v>
      </c>
      <c r="Z15" s="31"/>
    </row>
    <row r="16" spans="1:26">
      <c r="Z16" s="31"/>
    </row>
    <row r="17" spans="1:39" ht="15.75">
      <c r="A17" s="93" t="s">
        <v>656</v>
      </c>
      <c r="B17" s="59">
        <f>Versickerungsanlage!E58</f>
        <v>2</v>
      </c>
      <c r="C17" s="93" t="s">
        <v>655</v>
      </c>
      <c r="D17" s="93" t="s">
        <v>250</v>
      </c>
      <c r="Z17" s="31"/>
    </row>
    <row r="18" spans="1:39" ht="14.25">
      <c r="A18" s="93" t="s">
        <v>251</v>
      </c>
      <c r="B18" s="59">
        <f>Versickerungsanlage!E59</f>
        <v>50</v>
      </c>
      <c r="C18" s="93" t="s">
        <v>649</v>
      </c>
      <c r="D18" s="93" t="s">
        <v>250</v>
      </c>
      <c r="H18" s="31" t="s">
        <v>183</v>
      </c>
      <c r="J18" s="31" cm="1">
        <f t="array" ref="J18">INDEX(Regen!$A$1:$Z$123,MATCH(M18,Regen!$A:$A,0),Berechnung_Versickerung!$J$9)</f>
        <v>328.27986279999999</v>
      </c>
      <c r="K18" s="31" t="s">
        <v>185</v>
      </c>
      <c r="M18" s="31">
        <v>10</v>
      </c>
      <c r="N18" s="31" t="s">
        <v>184</v>
      </c>
      <c r="Z18" s="31"/>
    </row>
    <row r="19" spans="1:39">
      <c r="A19" s="93" t="s">
        <v>252</v>
      </c>
      <c r="B19" s="59">
        <f>B17*B18/60</f>
        <v>1.6666666666666667</v>
      </c>
      <c r="C19" s="93" t="s">
        <v>117</v>
      </c>
      <c r="D19" s="93" t="s">
        <v>253</v>
      </c>
      <c r="K19" s="31" t="s">
        <v>186</v>
      </c>
      <c r="Z19" s="31"/>
    </row>
    <row r="20" spans="1:39">
      <c r="Z20" s="31"/>
    </row>
    <row r="21" spans="1:39">
      <c r="Z21" s="31"/>
    </row>
    <row r="22" spans="1:39">
      <c r="Z22" s="31"/>
    </row>
    <row r="23" spans="1:39">
      <c r="A23" s="34"/>
      <c r="Z23" s="31"/>
    </row>
    <row r="24" spans="1:39">
      <c r="A24" s="34"/>
      <c r="Z24" s="31"/>
    </row>
    <row r="25" spans="1:39">
      <c r="A25" s="34"/>
      <c r="Z25" s="31"/>
    </row>
    <row r="26" spans="1:39">
      <c r="A26" s="34"/>
      <c r="Z26" s="31"/>
    </row>
    <row r="27" spans="1:39">
      <c r="A27" s="34"/>
      <c r="Z27" s="31"/>
    </row>
    <row r="28" spans="1:39">
      <c r="A28" s="34"/>
      <c r="G28" s="7"/>
      <c r="Z28" s="31"/>
    </row>
    <row r="29" spans="1:39">
      <c r="Z29" s="31"/>
    </row>
    <row r="30" spans="1:39">
      <c r="B30" s="56">
        <f>INDEX(B33:B276,G30,0)</f>
        <v>17.5</v>
      </c>
      <c r="C30" s="55" t="s">
        <v>154</v>
      </c>
      <c r="D30" s="30"/>
      <c r="E30" s="54">
        <f>INDEX(E33:E276,G30,0)</f>
        <v>219.70145905000001</v>
      </c>
      <c r="F30" s="54">
        <f>INDEX(F33:F276,G30,0)</f>
        <v>5.817694635644</v>
      </c>
      <c r="G30" s="53">
        <f>MATCH(I30,I33:I276,0)</f>
        <v>36</v>
      </c>
      <c r="H30" s="52" t="s">
        <v>269</v>
      </c>
      <c r="I30" s="51">
        <f>MAX(I33:I276)</f>
        <v>4.3585793674261994</v>
      </c>
      <c r="J30" s="50" t="s">
        <v>182</v>
      </c>
      <c r="T30" s="7"/>
      <c r="W30" s="7"/>
      <c r="Z30" s="31"/>
      <c r="AC30" s="7"/>
      <c r="AL30" s="7"/>
      <c r="AM30" s="7"/>
    </row>
    <row r="31" spans="1:39">
      <c r="B31" s="49" t="s">
        <v>119</v>
      </c>
      <c r="C31" s="46" t="s">
        <v>119</v>
      </c>
      <c r="D31" s="46" t="s">
        <v>152</v>
      </c>
      <c r="E31" s="48" t="s">
        <v>151</v>
      </c>
      <c r="F31" s="47" t="s">
        <v>151</v>
      </c>
      <c r="G31" s="46" t="s">
        <v>151</v>
      </c>
      <c r="H31" s="46" t="s">
        <v>267</v>
      </c>
      <c r="I31" s="45" t="s">
        <v>268</v>
      </c>
      <c r="O31" s="7"/>
      <c r="R31" s="7"/>
      <c r="X31" s="7"/>
      <c r="Z31" s="31"/>
      <c r="AG31" s="7"/>
      <c r="AH31" s="7"/>
    </row>
    <row r="32" spans="1:39">
      <c r="B32" s="44" t="s">
        <v>112</v>
      </c>
      <c r="C32" s="41" t="s">
        <v>148</v>
      </c>
      <c r="D32" s="41" t="s">
        <v>147</v>
      </c>
      <c r="E32" s="43" t="s">
        <v>118</v>
      </c>
      <c r="F32" s="42" t="s">
        <v>117</v>
      </c>
      <c r="G32" s="41" t="s">
        <v>659</v>
      </c>
      <c r="H32" s="41" t="s">
        <v>659</v>
      </c>
      <c r="I32" s="40" t="s">
        <v>659</v>
      </c>
      <c r="T32" s="7"/>
      <c r="W32" s="7"/>
      <c r="Z32" s="31"/>
      <c r="AC32" s="7"/>
      <c r="AL32" s="7"/>
      <c r="AM32" s="7"/>
    </row>
    <row r="33" spans="2:39">
      <c r="B33" s="27">
        <v>0</v>
      </c>
      <c r="C33" s="38">
        <f t="shared" ref="C33:C96" si="0">B33/60</f>
        <v>0</v>
      </c>
      <c r="D33" s="37"/>
      <c r="E33" s="37"/>
      <c r="F33" s="37">
        <f t="shared" ref="F33:F96" si="1">E33*$B$12</f>
        <v>0</v>
      </c>
      <c r="G33" s="37">
        <f t="shared" ref="G33:G96" si="2">F33*60*B33/1000</f>
        <v>0</v>
      </c>
      <c r="H33" s="37">
        <f>B33*60/1000*$B$19</f>
        <v>0</v>
      </c>
      <c r="I33" s="37">
        <f t="shared" ref="I33:I96" si="3">G33-H33</f>
        <v>0</v>
      </c>
      <c r="T33" s="7"/>
      <c r="W33" s="7"/>
      <c r="Z33" s="31"/>
      <c r="AC33" s="7"/>
      <c r="AL33" s="7"/>
      <c r="AM33" s="7"/>
    </row>
    <row r="34" spans="2:39">
      <c r="B34" s="27">
        <f t="shared" ref="B34" si="4">+B33+0.5</f>
        <v>0.5</v>
      </c>
      <c r="C34" s="38">
        <f t="shared" si="0"/>
        <v>8.3333333333333332E-3</v>
      </c>
      <c r="D34" s="37"/>
      <c r="E34" s="37">
        <f>E35</f>
        <v>543.31733159999999</v>
      </c>
      <c r="F34" s="37">
        <f t="shared" si="1"/>
        <v>14.387042940768</v>
      </c>
      <c r="G34" s="37">
        <f t="shared" si="2"/>
        <v>0.43161128822304001</v>
      </c>
      <c r="H34" s="37">
        <f t="shared" ref="H34:H97" si="5">B34*60/1000*$B$19</f>
        <v>0.05</v>
      </c>
      <c r="I34" s="37">
        <f t="shared" si="3"/>
        <v>0.38161128822304002</v>
      </c>
      <c r="T34" s="7"/>
      <c r="W34" s="7"/>
      <c r="Z34" s="31"/>
      <c r="AC34" s="7"/>
      <c r="AL34" s="7"/>
      <c r="AM34" s="7"/>
    </row>
    <row r="35" spans="2:39">
      <c r="B35" s="33">
        <f>+B34+0.5</f>
        <v>1</v>
      </c>
      <c r="C35" s="38">
        <f t="shared" si="0"/>
        <v>1.6666666666666666E-2</v>
      </c>
      <c r="D35" s="37"/>
      <c r="E35" s="37" cm="1">
        <f t="array" ref="E35">IF(ISNUMBER(SEARCH(".5",B35)),(E34+E36)/2,INDEX(Regen!$A$1:$Z$123,MATCH(ROUND(B35,0),Regen!$A:$A,0),Berechnung_Versickerung!$J$9))</f>
        <v>543.31733159999999</v>
      </c>
      <c r="F35" s="37">
        <f t="shared" si="1"/>
        <v>14.387042940768</v>
      </c>
      <c r="G35" s="37">
        <f t="shared" si="2"/>
        <v>0.86322257644608003</v>
      </c>
      <c r="H35" s="37">
        <f t="shared" si="5"/>
        <v>0.1</v>
      </c>
      <c r="I35" s="37">
        <f t="shared" si="3"/>
        <v>0.76322257644608005</v>
      </c>
      <c r="T35" s="7"/>
      <c r="W35" s="7"/>
      <c r="Z35" s="31"/>
      <c r="AC35" s="7"/>
      <c r="AL35" s="7"/>
      <c r="AM35" s="7"/>
    </row>
    <row r="36" spans="2:39">
      <c r="B36" s="33">
        <f t="shared" ref="B36:B99" si="6">+B35+0.5</f>
        <v>1.5</v>
      </c>
      <c r="C36" s="38">
        <f t="shared" si="0"/>
        <v>2.5000000000000001E-2</v>
      </c>
      <c r="D36" s="37"/>
      <c r="E36" s="37" cm="1">
        <f t="array" ref="E36">IF(ISNUMBER(SEARCH(".5",B36)),(E35+E37)/2,INDEX(Regen!$A$1:$Z$123,MATCH(ROUND(B36,0),Regen!$A:$A,0),Berechnung_Versickerung!$J$9))</f>
        <v>543.31733159999999</v>
      </c>
      <c r="F36" s="37">
        <f t="shared" si="1"/>
        <v>14.387042940768</v>
      </c>
      <c r="G36" s="37">
        <f t="shared" si="2"/>
        <v>1.29483386466912</v>
      </c>
      <c r="H36" s="37">
        <f t="shared" si="5"/>
        <v>0.15</v>
      </c>
      <c r="I36" s="37">
        <f t="shared" si="3"/>
        <v>1.1448338646691201</v>
      </c>
      <c r="T36" s="7"/>
      <c r="W36" s="7"/>
      <c r="Z36" s="31"/>
      <c r="AC36" s="7"/>
      <c r="AL36" s="7"/>
      <c r="AM36" s="7"/>
    </row>
    <row r="37" spans="2:39">
      <c r="B37" s="33">
        <f t="shared" si="6"/>
        <v>2</v>
      </c>
      <c r="C37" s="38">
        <f t="shared" si="0"/>
        <v>3.3333333333333333E-2</v>
      </c>
      <c r="D37" s="37"/>
      <c r="E37" s="37" cm="1">
        <f t="array" ref="E37">IF(ISNUMBER(SEARCH(".5",B37)),(E36+E38)/2,INDEX(Regen!$A$1:$Z$123,MATCH(ROUND(B37,0),Regen!$A:$A,0),Berechnung_Versickerung!$J$9))</f>
        <v>543.31733159999999</v>
      </c>
      <c r="F37" s="37">
        <f t="shared" si="1"/>
        <v>14.387042940768</v>
      </c>
      <c r="G37" s="37">
        <f t="shared" si="2"/>
        <v>1.7264451528921601</v>
      </c>
      <c r="H37" s="37">
        <f t="shared" si="5"/>
        <v>0.2</v>
      </c>
      <c r="I37" s="37">
        <f t="shared" si="3"/>
        <v>1.5264451528921601</v>
      </c>
      <c r="T37" s="7"/>
      <c r="W37" s="7"/>
      <c r="Z37" s="31"/>
      <c r="AC37" s="7"/>
      <c r="AL37" s="7"/>
      <c r="AM37" s="7"/>
    </row>
    <row r="38" spans="2:39">
      <c r="B38" s="33">
        <f t="shared" si="6"/>
        <v>2.5</v>
      </c>
      <c r="C38" s="38">
        <f t="shared" si="0"/>
        <v>4.1666666666666664E-2</v>
      </c>
      <c r="D38" s="37"/>
      <c r="E38" s="37" cm="1">
        <f t="array" ref="E38">IF(ISNUMBER(SEARCH(".5",B38)),(E37+E39)/2,INDEX(Regen!$A$1:$Z$123,MATCH(ROUND(B38,0),Regen!$A:$A,0),Berechnung_Versickerung!$J$9))</f>
        <v>543.31733159999999</v>
      </c>
      <c r="F38" s="37">
        <f t="shared" si="1"/>
        <v>14.387042940768</v>
      </c>
      <c r="G38" s="37">
        <f t="shared" si="2"/>
        <v>2.1580564411152001</v>
      </c>
      <c r="H38" s="37">
        <f t="shared" si="5"/>
        <v>0.25</v>
      </c>
      <c r="I38" s="37">
        <f t="shared" si="3"/>
        <v>1.9080564411152001</v>
      </c>
      <c r="T38" s="7"/>
      <c r="W38" s="7"/>
      <c r="Z38" s="31"/>
      <c r="AC38" s="7"/>
      <c r="AL38" s="7"/>
      <c r="AM38" s="7"/>
    </row>
    <row r="39" spans="2:39">
      <c r="B39" s="33">
        <f t="shared" si="6"/>
        <v>3</v>
      </c>
      <c r="C39" s="38">
        <f t="shared" si="0"/>
        <v>0.05</v>
      </c>
      <c r="D39" s="37"/>
      <c r="E39" s="37" cm="1">
        <f t="array" ref="E39">IF(ISNUMBER(SEARCH(".5",B39)),(E38+E40)/2,INDEX(Regen!$A$1:$Z$123,MATCH(ROUND(B39,0),Regen!$A:$A,0),Berechnung_Versickerung!$J$9))</f>
        <v>543.31733159999999</v>
      </c>
      <c r="F39" s="37">
        <f t="shared" si="1"/>
        <v>14.387042940768</v>
      </c>
      <c r="G39" s="37">
        <f t="shared" si="2"/>
        <v>2.58966772933824</v>
      </c>
      <c r="H39" s="37">
        <f t="shared" si="5"/>
        <v>0.3</v>
      </c>
      <c r="I39" s="37">
        <f t="shared" si="3"/>
        <v>2.2896677293382401</v>
      </c>
      <c r="T39" s="7"/>
      <c r="W39" s="7"/>
      <c r="Z39" s="31"/>
      <c r="AC39" s="7"/>
      <c r="AL39" s="7"/>
      <c r="AM39" s="7"/>
    </row>
    <row r="40" spans="2:39">
      <c r="B40" s="33">
        <f t="shared" si="6"/>
        <v>3.5</v>
      </c>
      <c r="C40" s="38">
        <f t="shared" si="0"/>
        <v>5.8333333333333334E-2</v>
      </c>
      <c r="D40" s="37"/>
      <c r="E40" s="37" cm="1">
        <f t="array" ref="E40">IF(ISNUMBER(SEARCH(".5",B40)),(E39+E41)/2,INDEX(Regen!$A$1:$Z$123,MATCH(ROUND(B40,0),Regen!$A:$A,0),Berechnung_Versickerung!$J$9))</f>
        <v>543.31733159999999</v>
      </c>
      <c r="F40" s="37">
        <f t="shared" si="1"/>
        <v>14.387042940768</v>
      </c>
      <c r="G40" s="37">
        <f t="shared" si="2"/>
        <v>3.0212790175612798</v>
      </c>
      <c r="H40" s="37">
        <f t="shared" si="5"/>
        <v>0.35</v>
      </c>
      <c r="I40" s="37">
        <f t="shared" si="3"/>
        <v>2.6712790175612797</v>
      </c>
      <c r="T40" s="7"/>
      <c r="W40" s="7"/>
      <c r="Z40" s="31"/>
      <c r="AC40" s="7"/>
      <c r="AL40" s="7"/>
      <c r="AM40" s="7"/>
    </row>
    <row r="41" spans="2:39">
      <c r="B41" s="33">
        <f t="shared" si="6"/>
        <v>4</v>
      </c>
      <c r="C41" s="38">
        <f t="shared" si="0"/>
        <v>6.6666666666666666E-2</v>
      </c>
      <c r="D41" s="37"/>
      <c r="E41" s="37" cm="1">
        <f t="array" ref="E41">IF(ISNUMBER(SEARCH(".5",B41)),(E40+E42)/2,INDEX(Regen!$A$1:$Z$123,MATCH(ROUND(B41,0),Regen!$A:$A,0),Berechnung_Versickerung!$J$9))</f>
        <v>543.31733159999999</v>
      </c>
      <c r="F41" s="37">
        <f t="shared" si="1"/>
        <v>14.387042940768</v>
      </c>
      <c r="G41" s="37">
        <f t="shared" si="2"/>
        <v>3.4528903057843201</v>
      </c>
      <c r="H41" s="37">
        <f t="shared" si="5"/>
        <v>0.4</v>
      </c>
      <c r="I41" s="37">
        <f t="shared" si="3"/>
        <v>3.0528903057843202</v>
      </c>
      <c r="T41" s="7"/>
      <c r="W41" s="7"/>
      <c r="Z41" s="31"/>
      <c r="AC41" s="7"/>
      <c r="AL41" s="7"/>
      <c r="AM41" s="7"/>
    </row>
    <row r="42" spans="2:39">
      <c r="B42" s="33">
        <f t="shared" si="6"/>
        <v>4.5</v>
      </c>
      <c r="C42" s="38">
        <f t="shared" si="0"/>
        <v>7.4999999999999997E-2</v>
      </c>
      <c r="D42" s="37"/>
      <c r="E42" s="37" cm="1">
        <f t="array" ref="E42">IF(ISNUMBER(SEARCH(".5",B42)),(E41+E43)/2,INDEX(Regen!$A$1:$Z$123,MATCH(ROUND(B42,0),Regen!$A:$A,0),Berechnung_Versickerung!$J$9))</f>
        <v>543.31733159999999</v>
      </c>
      <c r="F42" s="37">
        <f t="shared" si="1"/>
        <v>14.387042940768</v>
      </c>
      <c r="G42" s="37">
        <f t="shared" si="2"/>
        <v>3.8845015940073599</v>
      </c>
      <c r="H42" s="37">
        <f t="shared" si="5"/>
        <v>0.45000000000000007</v>
      </c>
      <c r="I42" s="37">
        <f t="shared" si="3"/>
        <v>3.4345015940073598</v>
      </c>
      <c r="T42" s="7"/>
      <c r="W42" s="7"/>
      <c r="Z42" s="31"/>
      <c r="AC42" s="7"/>
      <c r="AL42" s="7"/>
      <c r="AM42" s="7"/>
    </row>
    <row r="43" spans="2:39">
      <c r="B43" s="33">
        <f t="shared" si="6"/>
        <v>5</v>
      </c>
      <c r="C43" s="38">
        <f t="shared" si="0"/>
        <v>8.3333333333333329E-2</v>
      </c>
      <c r="D43" s="37"/>
      <c r="E43" s="37" cm="1">
        <f t="array" ref="E43">IF(ISNUMBER(SEARCH(".5",B43)),(E42+E44)/2,INDEX(Regen!$A$1:$Z$123,MATCH(ROUND(B43,0),Regen!$A:$A,0),Berechnung_Versickerung!$J$9))</f>
        <v>543.31733159999999</v>
      </c>
      <c r="F43" s="37">
        <f t="shared" si="1"/>
        <v>14.387042940768</v>
      </c>
      <c r="G43" s="37">
        <f t="shared" si="2"/>
        <v>4.3161128822304002</v>
      </c>
      <c r="H43" s="37">
        <f t="shared" si="5"/>
        <v>0.5</v>
      </c>
      <c r="I43" s="37">
        <f t="shared" si="3"/>
        <v>3.8161128822304002</v>
      </c>
      <c r="O43" s="32"/>
      <c r="T43" s="7"/>
      <c r="W43" s="7"/>
      <c r="Z43" s="31"/>
      <c r="AC43" s="7"/>
      <c r="AL43" s="7"/>
      <c r="AM43" s="7"/>
    </row>
    <row r="44" spans="2:39">
      <c r="B44" s="33">
        <f t="shared" si="6"/>
        <v>5.5</v>
      </c>
      <c r="C44" s="38">
        <f t="shared" si="0"/>
        <v>9.166666666666666E-2</v>
      </c>
      <c r="D44" s="37"/>
      <c r="E44" s="37" cm="1">
        <f t="array" ref="E44">IF(ISNUMBER(SEARCH(".5",B44)),(E43+E45)/2,INDEX(Regen!$A$1:$Z$123,MATCH(ROUND(B44,0),Regen!$A:$A,0),Berechnung_Versickerung!$J$9))</f>
        <v>509.45597179999999</v>
      </c>
      <c r="F44" s="37">
        <f t="shared" si="1"/>
        <v>13.490394133263999</v>
      </c>
      <c r="G44" s="37">
        <f t="shared" si="2"/>
        <v>4.4518300639771198</v>
      </c>
      <c r="H44" s="37">
        <f t="shared" si="5"/>
        <v>0.55000000000000004</v>
      </c>
      <c r="I44" s="37">
        <f t="shared" si="3"/>
        <v>3.90183006397712</v>
      </c>
      <c r="O44" s="32"/>
      <c r="T44" s="7"/>
      <c r="W44" s="7"/>
      <c r="Z44" s="31"/>
      <c r="AC44" s="7"/>
      <c r="AL44" s="7"/>
      <c r="AM44" s="7"/>
    </row>
    <row r="45" spans="2:39">
      <c r="B45" s="33">
        <f t="shared" si="6"/>
        <v>6</v>
      </c>
      <c r="C45" s="38">
        <f t="shared" si="0"/>
        <v>0.1</v>
      </c>
      <c r="D45" s="37"/>
      <c r="E45" s="37" cm="1">
        <f t="array" ref="E45">IF(ISNUMBER(SEARCH(".5",B45)),(E44+E46)/2,INDEX(Regen!$A$1:$Z$123,MATCH(ROUND(B45,0),Regen!$A:$A,0),Berechnung_Versickerung!$J$9))</f>
        <v>475.59461199999998</v>
      </c>
      <c r="F45" s="37">
        <f t="shared" si="1"/>
        <v>12.593745325759999</v>
      </c>
      <c r="G45" s="37">
        <f t="shared" si="2"/>
        <v>4.5337483172735995</v>
      </c>
      <c r="H45" s="37">
        <f t="shared" si="5"/>
        <v>0.6</v>
      </c>
      <c r="I45" s="37">
        <f t="shared" si="3"/>
        <v>3.9337483172735994</v>
      </c>
      <c r="O45" s="32"/>
      <c r="T45" s="7"/>
      <c r="W45" s="7"/>
      <c r="Z45" s="31"/>
      <c r="AC45" s="7"/>
      <c r="AL45" s="7"/>
      <c r="AM45" s="7"/>
    </row>
    <row r="46" spans="2:39">
      <c r="B46" s="33">
        <f t="shared" si="6"/>
        <v>6.5</v>
      </c>
      <c r="C46" s="38">
        <f t="shared" si="0"/>
        <v>0.10833333333333334</v>
      </c>
      <c r="D46" s="37"/>
      <c r="E46" s="37" cm="1">
        <f t="array" ref="E46">IF(ISNUMBER(SEARCH(".5",B46)),(E45+E47)/2,INDEX(Regen!$A$1:$Z$123,MATCH(ROUND(B46,0),Regen!$A:$A,0),Berechnung_Versickerung!$J$9))</f>
        <v>450.35085415000003</v>
      </c>
      <c r="F46" s="37">
        <f t="shared" si="1"/>
        <v>11.925290617892001</v>
      </c>
      <c r="G46" s="37">
        <f t="shared" si="2"/>
        <v>4.6508633409778808</v>
      </c>
      <c r="H46" s="37">
        <f t="shared" si="5"/>
        <v>0.65</v>
      </c>
      <c r="I46" s="37">
        <f t="shared" si="3"/>
        <v>4.0008633409778804</v>
      </c>
      <c r="O46" s="32"/>
      <c r="T46" s="7"/>
      <c r="W46" s="7"/>
      <c r="Z46" s="31"/>
      <c r="AC46" s="7"/>
      <c r="AL46" s="7"/>
      <c r="AM46" s="7"/>
    </row>
    <row r="47" spans="2:39">
      <c r="B47" s="33">
        <f t="shared" si="6"/>
        <v>7</v>
      </c>
      <c r="C47" s="38">
        <f t="shared" si="0"/>
        <v>0.11666666666666667</v>
      </c>
      <c r="D47" s="37"/>
      <c r="E47" s="37" cm="1">
        <f t="array" ref="E47">IF(ISNUMBER(SEARCH(".5",B47)),(E46+E48)/2,INDEX(Regen!$A$1:$Z$123,MATCH(ROUND(B47,0),Regen!$A:$A,0),Berechnung_Versickerung!$J$9))</f>
        <v>425.10709630000002</v>
      </c>
      <c r="F47" s="37">
        <f t="shared" si="1"/>
        <v>11.256835910024</v>
      </c>
      <c r="G47" s="37">
        <f t="shared" si="2"/>
        <v>4.72787108221008</v>
      </c>
      <c r="H47" s="37">
        <f t="shared" si="5"/>
        <v>0.7</v>
      </c>
      <c r="I47" s="37">
        <f t="shared" si="3"/>
        <v>4.0278710822100798</v>
      </c>
      <c r="O47" s="32"/>
      <c r="T47" s="7"/>
      <c r="W47" s="7"/>
      <c r="Z47" s="31"/>
      <c r="AC47" s="7"/>
      <c r="AL47" s="7"/>
      <c r="AM47" s="7"/>
    </row>
    <row r="48" spans="2:39">
      <c r="B48" s="33">
        <f t="shared" si="6"/>
        <v>7.5</v>
      </c>
      <c r="C48" s="38">
        <f t="shared" si="0"/>
        <v>0.125</v>
      </c>
      <c r="D48" s="37"/>
      <c r="E48" s="37" cm="1">
        <f t="array" ref="E48">IF(ISNUMBER(SEARCH(".5",B48)),(E47+E49)/2,INDEX(Regen!$A$1:$Z$123,MATCH(ROUND(B48,0),Regen!$A:$A,0),Berechnung_Versickerung!$J$9))</f>
        <v>405.46481679999999</v>
      </c>
      <c r="F48" s="37">
        <f t="shared" si="1"/>
        <v>10.736708348863999</v>
      </c>
      <c r="G48" s="37">
        <f t="shared" si="2"/>
        <v>4.8315187569887996</v>
      </c>
      <c r="H48" s="37">
        <f t="shared" si="5"/>
        <v>0.75</v>
      </c>
      <c r="I48" s="37">
        <f t="shared" si="3"/>
        <v>4.0815187569887996</v>
      </c>
      <c r="O48" s="32"/>
      <c r="T48" s="7"/>
      <c r="W48" s="7"/>
      <c r="Z48" s="31"/>
      <c r="AC48" s="7"/>
      <c r="AL48" s="7"/>
      <c r="AM48" s="7"/>
    </row>
    <row r="49" spans="2:39">
      <c r="B49" s="33">
        <f t="shared" si="6"/>
        <v>8</v>
      </c>
      <c r="C49" s="38">
        <f t="shared" si="0"/>
        <v>0.13333333333333333</v>
      </c>
      <c r="D49" s="37"/>
      <c r="E49" s="37" cm="1">
        <f t="array" ref="E49">IF(ISNUMBER(SEARCH(".5",B49)),(E48+E50)/2,INDEX(Regen!$A$1:$Z$123,MATCH(ROUND(B49,0),Regen!$A:$A,0),Berechnung_Versickerung!$J$9))</f>
        <v>385.82253730000002</v>
      </c>
      <c r="F49" s="37">
        <f t="shared" si="1"/>
        <v>10.216580787704</v>
      </c>
      <c r="G49" s="37">
        <f t="shared" si="2"/>
        <v>4.9039587780979197</v>
      </c>
      <c r="H49" s="37">
        <f t="shared" si="5"/>
        <v>0.8</v>
      </c>
      <c r="I49" s="37">
        <f t="shared" si="3"/>
        <v>4.1039587780979199</v>
      </c>
      <c r="O49" s="32"/>
      <c r="T49" s="7"/>
      <c r="W49" s="7"/>
      <c r="Z49" s="31"/>
      <c r="AC49" s="7"/>
      <c r="AL49" s="7"/>
      <c r="AM49" s="7"/>
    </row>
    <row r="50" spans="2:39">
      <c r="B50" s="33">
        <f t="shared" si="6"/>
        <v>8.5</v>
      </c>
      <c r="C50" s="38">
        <f t="shared" si="0"/>
        <v>0.14166666666666666</v>
      </c>
      <c r="D50" s="37"/>
      <c r="E50" s="37" cm="1">
        <f t="array" ref="E50">IF(ISNUMBER(SEARCH(".5",B50)),(E49+E51)/2,INDEX(Regen!$A$1:$Z$123,MATCH(ROUND(B50,0),Regen!$A:$A,0),Berechnung_Versickerung!$J$9))</f>
        <v>370.04356144999997</v>
      </c>
      <c r="F50" s="37">
        <f t="shared" si="1"/>
        <v>9.7987535071959986</v>
      </c>
      <c r="G50" s="37">
        <f t="shared" si="2"/>
        <v>4.9973642886699592</v>
      </c>
      <c r="H50" s="37">
        <f t="shared" si="5"/>
        <v>0.85000000000000009</v>
      </c>
      <c r="I50" s="37">
        <f t="shared" si="3"/>
        <v>4.1473642886699587</v>
      </c>
      <c r="O50" s="32"/>
      <c r="T50" s="7"/>
      <c r="W50" s="7"/>
      <c r="Z50" s="31"/>
      <c r="AC50" s="7"/>
      <c r="AL50" s="7"/>
      <c r="AM50" s="7"/>
    </row>
    <row r="51" spans="2:39">
      <c r="B51" s="33">
        <f t="shared" si="6"/>
        <v>9</v>
      </c>
      <c r="C51" s="38">
        <f t="shared" si="0"/>
        <v>0.15</v>
      </c>
      <c r="D51" s="37"/>
      <c r="E51" s="37" cm="1">
        <f t="array" ref="E51">IF(ISNUMBER(SEARCH(".5",B51)),(E50+E52)/2,INDEX(Regen!$A$1:$Z$123,MATCH(ROUND(B51,0),Regen!$A:$A,0),Berechnung_Versickerung!$J$9))</f>
        <v>354.26458559999998</v>
      </c>
      <c r="F51" s="37">
        <f t="shared" si="1"/>
        <v>9.3809262266879987</v>
      </c>
      <c r="G51" s="37">
        <f t="shared" si="2"/>
        <v>5.0657001624115203</v>
      </c>
      <c r="H51" s="37">
        <f t="shared" si="5"/>
        <v>0.90000000000000013</v>
      </c>
      <c r="I51" s="37">
        <f t="shared" si="3"/>
        <v>4.16570016241152</v>
      </c>
      <c r="O51" s="32"/>
      <c r="T51" s="7"/>
      <c r="W51" s="7"/>
      <c r="Z51" s="31"/>
      <c r="AC51" s="7"/>
      <c r="AL51" s="7"/>
      <c r="AM51" s="7"/>
    </row>
    <row r="52" spans="2:39">
      <c r="B52" s="33">
        <f t="shared" si="6"/>
        <v>9.5</v>
      </c>
      <c r="C52" s="38">
        <f t="shared" si="0"/>
        <v>0.15833333333333333</v>
      </c>
      <c r="D52" s="37"/>
      <c r="E52" s="37" cm="1">
        <f t="array" ref="E52">IF(ISNUMBER(SEARCH(".5",B52)),(E51+E53)/2,INDEX(Regen!$A$1:$Z$123,MATCH(ROUND(B52,0),Regen!$A:$A,0),Berechnung_Versickerung!$J$9))</f>
        <v>341.27222419999998</v>
      </c>
      <c r="F52" s="37">
        <f t="shared" si="1"/>
        <v>9.0368884968159993</v>
      </c>
      <c r="G52" s="37">
        <f t="shared" si="2"/>
        <v>5.1510264431851196</v>
      </c>
      <c r="H52" s="37">
        <f t="shared" si="5"/>
        <v>0.95</v>
      </c>
      <c r="I52" s="37">
        <f t="shared" si="3"/>
        <v>4.2010264431851194</v>
      </c>
      <c r="O52" s="32"/>
      <c r="T52" s="7"/>
      <c r="W52" s="7"/>
      <c r="Z52" s="31"/>
      <c r="AC52" s="7"/>
      <c r="AL52" s="7"/>
      <c r="AM52" s="7"/>
    </row>
    <row r="53" spans="2:39">
      <c r="B53" s="33">
        <f t="shared" si="6"/>
        <v>10</v>
      </c>
      <c r="C53" s="38">
        <f t="shared" si="0"/>
        <v>0.16666666666666666</v>
      </c>
      <c r="D53" s="37"/>
      <c r="E53" s="37" cm="1">
        <f t="array" ref="E53">IF(ISNUMBER(SEARCH(".5",B53)),(E52+E54)/2,INDEX(Regen!$A$1:$Z$123,MATCH(ROUND(B53,0),Regen!$A:$A,0),Berechnung_Versickerung!$J$9))</f>
        <v>328.27986279999999</v>
      </c>
      <c r="F53" s="37">
        <f t="shared" si="1"/>
        <v>8.6928507669439998</v>
      </c>
      <c r="G53" s="37">
        <f t="shared" si="2"/>
        <v>5.2157104601664006</v>
      </c>
      <c r="H53" s="37">
        <f t="shared" si="5"/>
        <v>1</v>
      </c>
      <c r="I53" s="37">
        <f t="shared" si="3"/>
        <v>4.2157104601664006</v>
      </c>
      <c r="O53" s="32"/>
      <c r="T53" s="7"/>
      <c r="W53" s="7"/>
      <c r="Z53" s="31"/>
      <c r="AC53" s="7"/>
      <c r="AL53" s="7"/>
      <c r="AM53" s="7"/>
    </row>
    <row r="54" spans="2:39">
      <c r="B54" s="33">
        <f t="shared" si="6"/>
        <v>10.5</v>
      </c>
      <c r="C54" s="38">
        <f t="shared" si="0"/>
        <v>0.17499999999999999</v>
      </c>
      <c r="D54" s="37"/>
      <c r="E54" s="37" cm="1">
        <f t="array" ref="E54">IF(ISNUMBER(SEARCH(".5",B54)),(E53+E55)/2,INDEX(Regen!$A$1:$Z$123,MATCH(ROUND(B54,0),Regen!$A:$A,0),Berechnung_Versickerung!$J$9))</f>
        <v>317.36931070000003</v>
      </c>
      <c r="F54" s="37">
        <f t="shared" si="1"/>
        <v>8.4039393473360011</v>
      </c>
      <c r="G54" s="37">
        <f t="shared" si="2"/>
        <v>5.2944817888216802</v>
      </c>
      <c r="H54" s="37">
        <f t="shared" si="5"/>
        <v>1.05</v>
      </c>
      <c r="I54" s="37">
        <f t="shared" si="3"/>
        <v>4.2444817888216804</v>
      </c>
      <c r="O54" s="32"/>
      <c r="T54" s="7"/>
      <c r="W54" s="7"/>
      <c r="Z54" s="31"/>
      <c r="AC54" s="7"/>
      <c r="AL54" s="7"/>
      <c r="AM54" s="7"/>
    </row>
    <row r="55" spans="2:39">
      <c r="B55" s="33">
        <f t="shared" si="6"/>
        <v>11</v>
      </c>
      <c r="C55" s="38">
        <f t="shared" si="0"/>
        <v>0.18333333333333332</v>
      </c>
      <c r="D55" s="37"/>
      <c r="E55" s="37" cm="1">
        <f t="array" ref="E55">IF(ISNUMBER(SEARCH(".5",B55)),(E54+E56)/2,INDEX(Regen!$A$1:$Z$123,MATCH(ROUND(B55,0),Regen!$A:$A,0),Berechnung_Versickerung!$J$9))</f>
        <v>306.45875860000001</v>
      </c>
      <c r="F55" s="37">
        <f t="shared" si="1"/>
        <v>8.1150279277280006</v>
      </c>
      <c r="G55" s="37">
        <f t="shared" si="2"/>
        <v>5.3559184323004807</v>
      </c>
      <c r="H55" s="37">
        <f t="shared" si="5"/>
        <v>1.1000000000000001</v>
      </c>
      <c r="I55" s="37">
        <f t="shared" si="3"/>
        <v>4.2559184323004811</v>
      </c>
      <c r="O55" s="32"/>
      <c r="T55" s="7"/>
      <c r="W55" s="7"/>
      <c r="Z55" s="31"/>
      <c r="AC55" s="7"/>
      <c r="AL55" s="7"/>
      <c r="AM55" s="7"/>
    </row>
    <row r="56" spans="2:39">
      <c r="B56" s="33">
        <f t="shared" si="6"/>
        <v>11.5</v>
      </c>
      <c r="C56" s="38">
        <f t="shared" si="0"/>
        <v>0.19166666666666668</v>
      </c>
      <c r="D56" s="37"/>
      <c r="E56" s="37" cm="1">
        <f t="array" ref="E56">IF(ISNUMBER(SEARCH(".5",B56)),(E55+E57)/2,INDEX(Regen!$A$1:$Z$123,MATCH(ROUND(B56,0),Regen!$A:$A,0),Berechnung_Versickerung!$J$9))</f>
        <v>297.14805369999999</v>
      </c>
      <c r="F56" s="37">
        <f t="shared" si="1"/>
        <v>7.8684804619759996</v>
      </c>
      <c r="G56" s="37">
        <f t="shared" si="2"/>
        <v>5.42925151876344</v>
      </c>
      <c r="H56" s="37">
        <f t="shared" si="5"/>
        <v>1.1499999999999999</v>
      </c>
      <c r="I56" s="37">
        <f t="shared" si="3"/>
        <v>4.2792515187634397</v>
      </c>
      <c r="O56" s="32"/>
      <c r="T56" s="7"/>
      <c r="W56" s="7"/>
      <c r="Z56" s="31"/>
      <c r="AC56" s="7"/>
      <c r="AL56" s="7"/>
      <c r="AM56" s="7"/>
    </row>
    <row r="57" spans="2:39">
      <c r="B57" s="33">
        <f t="shared" si="6"/>
        <v>12</v>
      </c>
      <c r="C57" s="38">
        <f t="shared" si="0"/>
        <v>0.2</v>
      </c>
      <c r="D57" s="37"/>
      <c r="E57" s="37" cm="1">
        <f t="array" ref="E57">IF(ISNUMBER(SEARCH(".5",B57)),(E56+E58)/2,INDEX(Regen!$A$1:$Z$123,MATCH(ROUND(B57,0),Regen!$A:$A,0),Berechnung_Versickerung!$J$9))</f>
        <v>287.83734879999997</v>
      </c>
      <c r="F57" s="37">
        <f t="shared" si="1"/>
        <v>7.6219329962239994</v>
      </c>
      <c r="G57" s="37">
        <f t="shared" si="2"/>
        <v>5.4877917572812791</v>
      </c>
      <c r="H57" s="37">
        <f t="shared" si="5"/>
        <v>1.2</v>
      </c>
      <c r="I57" s="37">
        <f t="shared" si="3"/>
        <v>4.2877917572812789</v>
      </c>
      <c r="O57" s="32"/>
      <c r="T57" s="7"/>
      <c r="W57" s="7"/>
      <c r="Z57" s="31"/>
      <c r="AC57" s="7"/>
      <c r="AL57" s="7"/>
      <c r="AM57" s="7"/>
    </row>
    <row r="58" spans="2:39">
      <c r="B58" s="33">
        <f t="shared" si="6"/>
        <v>12.5</v>
      </c>
      <c r="C58" s="38">
        <f t="shared" si="0"/>
        <v>0.20833333333333334</v>
      </c>
      <c r="D58" s="37"/>
      <c r="E58" s="37" cm="1">
        <f t="array" ref="E58">IF(ISNUMBER(SEARCH(".5",B58)),(E57+E59)/2,INDEX(Regen!$A$1:$Z$123,MATCH(ROUND(B58,0),Regen!$A:$A,0),Berechnung_Versickerung!$J$9))</f>
        <v>279.78502715000002</v>
      </c>
      <c r="F58" s="37">
        <f t="shared" si="1"/>
        <v>7.4087075189320002</v>
      </c>
      <c r="G58" s="37">
        <f t="shared" si="2"/>
        <v>5.5565306391989999</v>
      </c>
      <c r="H58" s="37">
        <f t="shared" si="5"/>
        <v>1.25</v>
      </c>
      <c r="I58" s="37">
        <f t="shared" si="3"/>
        <v>4.3065306391989999</v>
      </c>
      <c r="O58" s="32"/>
      <c r="T58" s="7"/>
      <c r="W58" s="7"/>
      <c r="Z58" s="31"/>
      <c r="AC58" s="7"/>
      <c r="AL58" s="7"/>
      <c r="AM58" s="7"/>
    </row>
    <row r="59" spans="2:39">
      <c r="B59" s="33">
        <f t="shared" si="6"/>
        <v>13</v>
      </c>
      <c r="C59" s="38">
        <f t="shared" si="0"/>
        <v>0.21666666666666667</v>
      </c>
      <c r="D59" s="37"/>
      <c r="E59" s="37" cm="1">
        <f t="array" ref="E59">IF(ISNUMBER(SEARCH(".5",B59)),(E58+E60)/2,INDEX(Regen!$A$1:$Z$123,MATCH(ROUND(B59,0),Regen!$A:$A,0),Berechnung_Versickerung!$J$9))</f>
        <v>271.73270550000001</v>
      </c>
      <c r="F59" s="37">
        <f t="shared" si="1"/>
        <v>7.19548204164</v>
      </c>
      <c r="G59" s="37">
        <f t="shared" si="2"/>
        <v>5.6124759924792</v>
      </c>
      <c r="H59" s="37">
        <f t="shared" si="5"/>
        <v>1.3</v>
      </c>
      <c r="I59" s="37">
        <f t="shared" si="3"/>
        <v>4.3124759924792002</v>
      </c>
      <c r="O59" s="32"/>
      <c r="T59" s="7"/>
      <c r="W59" s="7"/>
      <c r="Z59" s="31"/>
      <c r="AC59" s="7"/>
      <c r="AL59" s="7"/>
      <c r="AM59" s="7"/>
    </row>
    <row r="60" spans="2:39">
      <c r="B60" s="33">
        <f t="shared" si="6"/>
        <v>13.5</v>
      </c>
      <c r="C60" s="38">
        <f t="shared" si="0"/>
        <v>0.22500000000000001</v>
      </c>
      <c r="D60" s="37"/>
      <c r="E60" s="37" cm="1">
        <f t="array" ref="E60">IF(ISNUMBER(SEARCH(".5",B60)),(E59+E61)/2,INDEX(Regen!$A$1:$Z$123,MATCH(ROUND(B60,0),Regen!$A:$A,0),Berechnung_Versickerung!$J$9))</f>
        <v>264.68964065</v>
      </c>
      <c r="F60" s="37">
        <f t="shared" si="1"/>
        <v>7.0089816844120003</v>
      </c>
      <c r="G60" s="37">
        <f t="shared" si="2"/>
        <v>5.6772751643737198</v>
      </c>
      <c r="H60" s="37">
        <f t="shared" si="5"/>
        <v>1.35</v>
      </c>
      <c r="I60" s="37">
        <f t="shared" si="3"/>
        <v>4.3272751643737202</v>
      </c>
      <c r="O60" s="32"/>
      <c r="T60" s="7"/>
      <c r="W60" s="7"/>
      <c r="Z60" s="31"/>
      <c r="AC60" s="7"/>
      <c r="AL60" s="7"/>
      <c r="AM60" s="7"/>
    </row>
    <row r="61" spans="2:39">
      <c r="B61" s="33">
        <f t="shared" si="6"/>
        <v>14</v>
      </c>
      <c r="C61" s="38">
        <f t="shared" si="0"/>
        <v>0.23333333333333334</v>
      </c>
      <c r="D61" s="37"/>
      <c r="E61" s="37" cm="1">
        <f t="array" ref="E61">IF(ISNUMBER(SEARCH(".5",B61)),(E60+E62)/2,INDEX(Regen!$A$1:$Z$123,MATCH(ROUND(B61,0),Regen!$A:$A,0),Berechnung_Versickerung!$J$9))</f>
        <v>257.64657579999999</v>
      </c>
      <c r="F61" s="37">
        <f t="shared" si="1"/>
        <v>6.8224813271839997</v>
      </c>
      <c r="G61" s="37">
        <f t="shared" si="2"/>
        <v>5.7308843148345607</v>
      </c>
      <c r="H61" s="37">
        <f t="shared" si="5"/>
        <v>1.4</v>
      </c>
      <c r="I61" s="37">
        <f t="shared" si="3"/>
        <v>4.3308843148345613</v>
      </c>
      <c r="O61" s="32"/>
      <c r="T61" s="7"/>
      <c r="W61" s="7"/>
      <c r="Z61" s="31"/>
      <c r="AC61" s="7"/>
      <c r="AL61" s="7"/>
      <c r="AM61" s="7"/>
    </row>
    <row r="62" spans="2:39">
      <c r="B62" s="33">
        <f t="shared" si="6"/>
        <v>14.5</v>
      </c>
      <c r="C62" s="38">
        <f t="shared" si="0"/>
        <v>0.24166666666666667</v>
      </c>
      <c r="D62" s="37"/>
      <c r="E62" s="37" cm="1">
        <f t="array" ref="E62">IF(ISNUMBER(SEARCH(".5",B62)),(E61+E63)/2,INDEX(Regen!$A$1:$Z$123,MATCH(ROUND(B62,0),Regen!$A:$A,0),Berechnung_Versickerung!$J$9))</f>
        <v>251.42646200000001</v>
      </c>
      <c r="F62" s="37">
        <f t="shared" si="1"/>
        <v>6.65777271376</v>
      </c>
      <c r="G62" s="37">
        <f t="shared" si="2"/>
        <v>5.7922622609712002</v>
      </c>
      <c r="H62" s="37">
        <f t="shared" si="5"/>
        <v>1.45</v>
      </c>
      <c r="I62" s="37">
        <f t="shared" si="3"/>
        <v>4.3422622609712</v>
      </c>
      <c r="O62" s="32"/>
      <c r="T62" s="7"/>
      <c r="W62" s="7"/>
      <c r="Z62" s="31"/>
      <c r="AC62" s="7"/>
      <c r="AL62" s="7"/>
      <c r="AM62" s="7"/>
    </row>
    <row r="63" spans="2:39">
      <c r="B63" s="33">
        <f t="shared" si="6"/>
        <v>15</v>
      </c>
      <c r="C63" s="38">
        <f t="shared" si="0"/>
        <v>0.25</v>
      </c>
      <c r="D63" s="37"/>
      <c r="E63" s="37" cm="1">
        <f t="array" ref="E63">IF(ISNUMBER(SEARCH(".5",B63)),(E62+E64)/2,INDEX(Regen!$A$1:$Z$123,MATCH(ROUND(B63,0),Regen!$A:$A,0),Berechnung_Versickerung!$J$9))</f>
        <v>245.20634820000001</v>
      </c>
      <c r="F63" s="37">
        <f t="shared" si="1"/>
        <v>6.4930641003360003</v>
      </c>
      <c r="G63" s="37">
        <f t="shared" si="2"/>
        <v>5.8437576903024002</v>
      </c>
      <c r="H63" s="37">
        <f t="shared" si="5"/>
        <v>1.5</v>
      </c>
      <c r="I63" s="37">
        <f t="shared" si="3"/>
        <v>4.3437576903024002</v>
      </c>
      <c r="O63" s="32"/>
      <c r="T63" s="7"/>
      <c r="W63" s="7"/>
      <c r="Z63" s="31"/>
      <c r="AC63" s="7"/>
      <c r="AL63" s="7"/>
      <c r="AM63" s="7"/>
    </row>
    <row r="64" spans="2:39">
      <c r="B64" s="33">
        <f t="shared" si="6"/>
        <v>15.5</v>
      </c>
      <c r="C64" s="38">
        <f t="shared" si="0"/>
        <v>0.25833333333333336</v>
      </c>
      <c r="D64" s="37"/>
      <c r="E64" s="37" cm="1">
        <f t="array" ref="E64">IF(ISNUMBER(SEARCH(".5",B64)),(E63+E65)/2,INDEX(Regen!$A$1:$Z$123,MATCH(ROUND(B64,0),Regen!$A:$A,0),Berechnung_Versickerung!$J$9))</f>
        <v>239.66688855000001</v>
      </c>
      <c r="F64" s="37">
        <f t="shared" si="1"/>
        <v>6.3463792088040005</v>
      </c>
      <c r="G64" s="37">
        <f t="shared" si="2"/>
        <v>5.9021326641877208</v>
      </c>
      <c r="H64" s="37">
        <f t="shared" si="5"/>
        <v>1.55</v>
      </c>
      <c r="I64" s="37">
        <f t="shared" si="3"/>
        <v>4.3521326641877209</v>
      </c>
      <c r="O64" s="32"/>
      <c r="T64" s="7"/>
      <c r="W64" s="7"/>
      <c r="Z64" s="31"/>
      <c r="AC64" s="7"/>
      <c r="AL64" s="7"/>
      <c r="AM64" s="7"/>
    </row>
    <row r="65" spans="2:39">
      <c r="B65" s="33">
        <f t="shared" si="6"/>
        <v>16</v>
      </c>
      <c r="C65" s="38">
        <f t="shared" si="0"/>
        <v>0.26666666666666666</v>
      </c>
      <c r="D65" s="37"/>
      <c r="E65" s="37" cm="1">
        <f t="array" ref="E65">IF(ISNUMBER(SEARCH(".5",B65)),(E64+E66)/2,INDEX(Regen!$A$1:$Z$123,MATCH(ROUND(B65,0),Regen!$A:$A,0),Berechnung_Versickerung!$J$9))</f>
        <v>234.12742890000001</v>
      </c>
      <c r="F65" s="37">
        <f t="shared" si="1"/>
        <v>6.1996943172720007</v>
      </c>
      <c r="G65" s="37">
        <f t="shared" si="2"/>
        <v>5.9517065445811204</v>
      </c>
      <c r="H65" s="37">
        <f t="shared" si="5"/>
        <v>1.6</v>
      </c>
      <c r="I65" s="37">
        <f t="shared" si="3"/>
        <v>4.3517065445811198</v>
      </c>
      <c r="O65" s="32"/>
      <c r="T65" s="7"/>
      <c r="W65" s="7"/>
      <c r="Z65" s="31"/>
      <c r="AC65" s="7"/>
      <c r="AL65" s="7"/>
      <c r="AM65" s="7"/>
    </row>
    <row r="66" spans="2:39">
      <c r="B66" s="33">
        <f t="shared" si="6"/>
        <v>16.5</v>
      </c>
      <c r="C66" s="38">
        <f t="shared" si="0"/>
        <v>0.27500000000000002</v>
      </c>
      <c r="D66" s="37"/>
      <c r="E66" s="37" cm="1">
        <f t="array" ref="E66">IF(ISNUMBER(SEARCH(".5",B66)),(E65+E67)/2,INDEX(Regen!$A$1:$Z$123,MATCH(ROUND(B66,0),Regen!$A:$A,0),Berechnung_Versickerung!$J$9))</f>
        <v>229.15794</v>
      </c>
      <c r="F66" s="37">
        <f t="shared" si="1"/>
        <v>6.0681022512</v>
      </c>
      <c r="G66" s="37">
        <f t="shared" si="2"/>
        <v>6.007421228688</v>
      </c>
      <c r="H66" s="37">
        <f t="shared" si="5"/>
        <v>1.6500000000000001</v>
      </c>
      <c r="I66" s="37">
        <f t="shared" si="3"/>
        <v>4.3574212286879996</v>
      </c>
      <c r="O66" s="32"/>
      <c r="T66" s="7"/>
      <c r="W66" s="7"/>
      <c r="Z66" s="31"/>
      <c r="AC66" s="7"/>
      <c r="AL66" s="7"/>
      <c r="AM66" s="7"/>
    </row>
    <row r="67" spans="2:39">
      <c r="B67" s="33">
        <f t="shared" si="6"/>
        <v>17</v>
      </c>
      <c r="C67" s="38">
        <f t="shared" si="0"/>
        <v>0.28333333333333333</v>
      </c>
      <c r="D67" s="37"/>
      <c r="E67" s="37" cm="1">
        <f t="array" ref="E67">IF(ISNUMBER(SEARCH(".5",B67)),(E66+E68)/2,INDEX(Regen!$A$1:$Z$123,MATCH(ROUND(B67,0),Regen!$A:$A,0),Berechnung_Versickerung!$J$9))</f>
        <v>224.18845110000001</v>
      </c>
      <c r="F67" s="37">
        <f t="shared" si="1"/>
        <v>5.9365101851280002</v>
      </c>
      <c r="G67" s="37">
        <f t="shared" si="2"/>
        <v>6.0552403888305601</v>
      </c>
      <c r="H67" s="37">
        <f t="shared" si="5"/>
        <v>1.7000000000000002</v>
      </c>
      <c r="I67" s="37">
        <f t="shared" si="3"/>
        <v>4.35524038883056</v>
      </c>
      <c r="O67" s="32"/>
      <c r="T67" s="7"/>
      <c r="W67" s="7"/>
      <c r="Z67" s="31"/>
      <c r="AC67" s="7"/>
      <c r="AL67" s="7"/>
      <c r="AM67" s="7"/>
    </row>
    <row r="68" spans="2:39">
      <c r="B68" s="33">
        <f t="shared" si="6"/>
        <v>17.5</v>
      </c>
      <c r="C68" s="38">
        <f t="shared" si="0"/>
        <v>0.29166666666666669</v>
      </c>
      <c r="D68" s="37"/>
      <c r="E68" s="37" cm="1">
        <f t="array" ref="E68">IF(ISNUMBER(SEARCH(".5",B68)),(E67+E69)/2,INDEX(Regen!$A$1:$Z$123,MATCH(ROUND(B68,0),Regen!$A:$A,0),Berechnung_Versickerung!$J$9))</f>
        <v>219.70145905000001</v>
      </c>
      <c r="F68" s="37">
        <f t="shared" si="1"/>
        <v>5.817694635644</v>
      </c>
      <c r="G68" s="37">
        <f t="shared" si="2"/>
        <v>6.1085793674261994</v>
      </c>
      <c r="H68" s="37">
        <f t="shared" si="5"/>
        <v>1.7500000000000002</v>
      </c>
      <c r="I68" s="37">
        <f t="shared" si="3"/>
        <v>4.3585793674261994</v>
      </c>
      <c r="O68" s="32"/>
      <c r="T68" s="7"/>
      <c r="W68" s="7"/>
      <c r="Z68" s="31"/>
      <c r="AC68" s="7"/>
      <c r="AL68" s="7"/>
      <c r="AM68" s="7"/>
    </row>
    <row r="69" spans="2:39">
      <c r="B69" s="33">
        <f t="shared" si="6"/>
        <v>18</v>
      </c>
      <c r="C69" s="38">
        <f t="shared" si="0"/>
        <v>0.3</v>
      </c>
      <c r="D69" s="37"/>
      <c r="E69" s="37" cm="1">
        <f t="array" ref="E69">IF(ISNUMBER(SEARCH(".5",B69)),(E68+E70)/2,INDEX(Regen!$A$1:$Z$123,MATCH(ROUND(B69,0),Regen!$A:$A,0),Berechnung_Versickerung!$J$9))</f>
        <v>215.21446700000001</v>
      </c>
      <c r="F69" s="37">
        <f t="shared" si="1"/>
        <v>5.6988790861600007</v>
      </c>
      <c r="G69" s="37">
        <f t="shared" si="2"/>
        <v>6.1547894130528</v>
      </c>
      <c r="H69" s="37">
        <f t="shared" si="5"/>
        <v>1.8000000000000003</v>
      </c>
      <c r="I69" s="37">
        <f t="shared" si="3"/>
        <v>4.3547894130527993</v>
      </c>
      <c r="O69" s="32"/>
      <c r="T69" s="7"/>
      <c r="W69" s="7"/>
      <c r="Z69" s="31"/>
      <c r="AC69" s="7"/>
      <c r="AL69" s="7"/>
      <c r="AM69" s="7"/>
    </row>
    <row r="70" spans="2:39">
      <c r="B70" s="33">
        <f t="shared" si="6"/>
        <v>18.5</v>
      </c>
      <c r="C70" s="38">
        <f t="shared" si="0"/>
        <v>0.30833333333333335</v>
      </c>
      <c r="D70" s="37"/>
      <c r="E70" s="37" cm="1">
        <f t="array" ref="E70">IF(ISNUMBER(SEARCH(".5",B70)),(E69+E71)/2,INDEX(Regen!$A$1:$Z$123,MATCH(ROUND(B70,0),Regen!$A:$A,0),Berechnung_Versickerung!$J$9))</f>
        <v>211.1398648</v>
      </c>
      <c r="F70" s="37">
        <f t="shared" si="1"/>
        <v>5.5909836199039997</v>
      </c>
      <c r="G70" s="37">
        <f t="shared" si="2"/>
        <v>6.2059918180934401</v>
      </c>
      <c r="H70" s="37">
        <f t="shared" si="5"/>
        <v>1.8500000000000003</v>
      </c>
      <c r="I70" s="37">
        <f t="shared" si="3"/>
        <v>4.3559918180934396</v>
      </c>
      <c r="O70" s="32"/>
      <c r="T70" s="7"/>
      <c r="W70" s="7"/>
      <c r="Z70" s="31"/>
      <c r="AC70" s="7"/>
      <c r="AL70" s="7"/>
      <c r="AM70" s="7"/>
    </row>
    <row r="71" spans="2:39">
      <c r="B71" s="33">
        <f t="shared" si="6"/>
        <v>19</v>
      </c>
      <c r="C71" s="38">
        <f t="shared" si="0"/>
        <v>0.31666666666666665</v>
      </c>
      <c r="D71" s="37"/>
      <c r="E71" s="37" cm="1">
        <f t="array" ref="E71">IF(ISNUMBER(SEARCH(".5",B71)),(E70+E72)/2,INDEX(Regen!$A$1:$Z$123,MATCH(ROUND(B71,0),Regen!$A:$A,0),Berechnung_Versickerung!$J$9))</f>
        <v>207.06526260000001</v>
      </c>
      <c r="F71" s="37">
        <f t="shared" si="1"/>
        <v>5.4830881536480005</v>
      </c>
      <c r="G71" s="37">
        <f t="shared" si="2"/>
        <v>6.2507204951587205</v>
      </c>
      <c r="H71" s="37">
        <f t="shared" si="5"/>
        <v>1.9</v>
      </c>
      <c r="I71" s="37">
        <f t="shared" si="3"/>
        <v>4.3507204951587202</v>
      </c>
      <c r="O71" s="32"/>
      <c r="T71" s="7"/>
      <c r="W71" s="7"/>
      <c r="Z71" s="31"/>
      <c r="AC71" s="7"/>
      <c r="AL71" s="7"/>
      <c r="AM71" s="7"/>
    </row>
    <row r="72" spans="2:39">
      <c r="B72" s="33">
        <f t="shared" si="6"/>
        <v>19.5</v>
      </c>
      <c r="C72" s="38">
        <f t="shared" si="0"/>
        <v>0.32500000000000001</v>
      </c>
      <c r="D72" s="37"/>
      <c r="E72" s="37" cm="1">
        <f t="array" ref="E72">IF(ISNUMBER(SEARCH(".5",B72)),(E71+E73)/2,INDEX(Regen!$A$1:$Z$123,MATCH(ROUND(B72,0),Regen!$A:$A,0),Berechnung_Versickerung!$J$9))</f>
        <v>203.3461595</v>
      </c>
      <c r="F72" s="37">
        <f t="shared" si="1"/>
        <v>5.38460630356</v>
      </c>
      <c r="G72" s="37">
        <f t="shared" si="2"/>
        <v>6.2999893751651994</v>
      </c>
      <c r="H72" s="37">
        <f t="shared" si="5"/>
        <v>1.95</v>
      </c>
      <c r="I72" s="37">
        <f t="shared" si="3"/>
        <v>4.3499893751651992</v>
      </c>
      <c r="O72" s="32"/>
      <c r="T72" s="7"/>
      <c r="W72" s="7"/>
      <c r="Z72" s="31"/>
      <c r="AC72" s="7"/>
      <c r="AL72" s="7"/>
      <c r="AM72" s="7"/>
    </row>
    <row r="73" spans="2:39">
      <c r="B73" s="33">
        <f t="shared" si="6"/>
        <v>20</v>
      </c>
      <c r="C73" s="38">
        <f t="shared" si="0"/>
        <v>0.33333333333333331</v>
      </c>
      <c r="D73" s="37"/>
      <c r="E73" s="37" cm="1">
        <f t="array" ref="E73">IF(ISNUMBER(SEARCH(".5",B73)),(E72+E74)/2,INDEX(Regen!$A$1:$Z$123,MATCH(ROUND(B73,0),Regen!$A:$A,0),Berechnung_Versickerung!$J$9))</f>
        <v>199.62705639999999</v>
      </c>
      <c r="F73" s="37">
        <f t="shared" si="1"/>
        <v>5.2861244534719996</v>
      </c>
      <c r="G73" s="37">
        <f t="shared" si="2"/>
        <v>6.3433493441663993</v>
      </c>
      <c r="H73" s="37">
        <f t="shared" si="5"/>
        <v>2</v>
      </c>
      <c r="I73" s="37">
        <f t="shared" si="3"/>
        <v>4.3433493441663993</v>
      </c>
      <c r="O73" s="32"/>
      <c r="T73" s="7"/>
      <c r="W73" s="7"/>
      <c r="Z73" s="31"/>
      <c r="AC73" s="7"/>
      <c r="AL73" s="7"/>
      <c r="AM73" s="7"/>
    </row>
    <row r="74" spans="2:39">
      <c r="B74" s="33">
        <f t="shared" si="6"/>
        <v>20.5</v>
      </c>
      <c r="C74" s="38">
        <f t="shared" si="0"/>
        <v>0.34166666666666667</v>
      </c>
      <c r="D74" s="37"/>
      <c r="E74" s="37" cm="1">
        <f t="array" ref="E74">IF(ISNUMBER(SEARCH(".5",B74)),(E73+E75)/2,INDEX(Regen!$A$1:$Z$123,MATCH(ROUND(B74,0),Regen!$A:$A,0),Berechnung_Versickerung!$J$9))</f>
        <v>196.21677074999999</v>
      </c>
      <c r="F74" s="37">
        <f t="shared" si="1"/>
        <v>5.1958200894599997</v>
      </c>
      <c r="G74" s="37">
        <f t="shared" si="2"/>
        <v>6.3908587100357996</v>
      </c>
      <c r="H74" s="37">
        <f t="shared" si="5"/>
        <v>2.0500000000000003</v>
      </c>
      <c r="I74" s="37">
        <f t="shared" si="3"/>
        <v>4.3408587100357998</v>
      </c>
      <c r="O74" s="32"/>
      <c r="T74" s="7"/>
      <c r="W74" s="7"/>
      <c r="Z74" s="31"/>
      <c r="AC74" s="7"/>
      <c r="AL74" s="7"/>
      <c r="AM74" s="7"/>
    </row>
    <row r="75" spans="2:39">
      <c r="B75" s="33">
        <f t="shared" si="6"/>
        <v>21</v>
      </c>
      <c r="C75" s="38">
        <f t="shared" si="0"/>
        <v>0.35</v>
      </c>
      <c r="D75" s="37"/>
      <c r="E75" s="37" cm="1">
        <f t="array" ref="E75">IF(ISNUMBER(SEARCH(".5",B75)),(E74+E76)/2,INDEX(Regen!$A$1:$Z$123,MATCH(ROUND(B75,0),Regen!$A:$A,0),Berechnung_Versickerung!$J$9))</f>
        <v>192.8064851</v>
      </c>
      <c r="F75" s="37">
        <f t="shared" si="1"/>
        <v>5.1055157254479999</v>
      </c>
      <c r="G75" s="37">
        <f t="shared" si="2"/>
        <v>6.4329498140644796</v>
      </c>
      <c r="H75" s="37">
        <f t="shared" si="5"/>
        <v>2.1</v>
      </c>
      <c r="I75" s="37">
        <f t="shared" si="3"/>
        <v>4.3329498140644791</v>
      </c>
      <c r="O75" s="32"/>
      <c r="T75" s="7"/>
      <c r="W75" s="7"/>
      <c r="Z75" s="31"/>
      <c r="AC75" s="7"/>
      <c r="AL75" s="7"/>
      <c r="AM75" s="7"/>
    </row>
    <row r="76" spans="2:39">
      <c r="B76" s="33">
        <f t="shared" si="6"/>
        <v>21.5</v>
      </c>
      <c r="C76" s="38">
        <f t="shared" si="0"/>
        <v>0.35833333333333334</v>
      </c>
      <c r="D76" s="37"/>
      <c r="E76" s="37" cm="1">
        <f t="array" ref="E76">IF(ISNUMBER(SEARCH(".5",B76)),(E75+E77)/2,INDEX(Regen!$A$1:$Z$123,MATCH(ROUND(B76,0),Regen!$A:$A,0),Berechnung_Versickerung!$J$9))</f>
        <v>189.66632800000002</v>
      </c>
      <c r="F76" s="37">
        <f t="shared" si="1"/>
        <v>5.0223643654400005</v>
      </c>
      <c r="G76" s="37">
        <f t="shared" si="2"/>
        <v>6.4788500314176005</v>
      </c>
      <c r="H76" s="37">
        <f t="shared" si="5"/>
        <v>2.1500000000000004</v>
      </c>
      <c r="I76" s="37">
        <f t="shared" si="3"/>
        <v>4.3288500314176002</v>
      </c>
      <c r="O76" s="32"/>
      <c r="T76" s="7"/>
      <c r="W76" s="7"/>
      <c r="Z76" s="31"/>
      <c r="AC76" s="7"/>
      <c r="AL76" s="7"/>
      <c r="AM76" s="7"/>
    </row>
    <row r="77" spans="2:39">
      <c r="B77" s="33">
        <f t="shared" si="6"/>
        <v>22</v>
      </c>
      <c r="C77" s="38">
        <f t="shared" si="0"/>
        <v>0.36666666666666664</v>
      </c>
      <c r="D77" s="37"/>
      <c r="E77" s="37" cm="1">
        <f t="array" ref="E77">IF(ISNUMBER(SEARCH(".5",B77)),(E76+E78)/2,INDEX(Regen!$A$1:$Z$123,MATCH(ROUND(B77,0),Regen!$A:$A,0),Berechnung_Versickerung!$J$9))</f>
        <v>186.52617090000001</v>
      </c>
      <c r="F77" s="37">
        <f t="shared" si="1"/>
        <v>4.9392130054320003</v>
      </c>
      <c r="G77" s="37">
        <f t="shared" si="2"/>
        <v>6.5197611671702411</v>
      </c>
      <c r="H77" s="37">
        <f t="shared" si="5"/>
        <v>2.2000000000000002</v>
      </c>
      <c r="I77" s="37">
        <f t="shared" si="3"/>
        <v>4.3197611671702409</v>
      </c>
      <c r="O77" s="32"/>
      <c r="T77" s="7"/>
      <c r="W77" s="7"/>
      <c r="Z77" s="31"/>
      <c r="AC77" s="7"/>
      <c r="AL77" s="7"/>
      <c r="AM77" s="7"/>
    </row>
    <row r="78" spans="2:39">
      <c r="B78" s="33">
        <f t="shared" si="6"/>
        <v>22.5</v>
      </c>
      <c r="C78" s="38">
        <f t="shared" si="0"/>
        <v>0.375</v>
      </c>
      <c r="D78" s="37"/>
      <c r="E78" s="37" cm="1">
        <f t="array" ref="E78">IF(ISNUMBER(SEARCH(".5",B78)),(E77+E79)/2,INDEX(Regen!$A$1:$Z$123,MATCH(ROUND(B78,0),Regen!$A:$A,0),Berechnung_Versickerung!$J$9))</f>
        <v>183.62378699999999</v>
      </c>
      <c r="F78" s="37">
        <f t="shared" si="1"/>
        <v>4.8623578797600002</v>
      </c>
      <c r="G78" s="37">
        <f t="shared" si="2"/>
        <v>6.5641831376760003</v>
      </c>
      <c r="H78" s="37">
        <f t="shared" si="5"/>
        <v>2.2500000000000004</v>
      </c>
      <c r="I78" s="37">
        <f t="shared" si="3"/>
        <v>4.3141831376760003</v>
      </c>
      <c r="O78" s="32"/>
      <c r="T78" s="7"/>
      <c r="W78" s="7"/>
      <c r="Z78" s="31"/>
      <c r="AC78" s="7"/>
      <c r="AL78" s="7"/>
      <c r="AM78" s="7"/>
    </row>
    <row r="79" spans="2:39">
      <c r="B79" s="33">
        <f t="shared" si="6"/>
        <v>23</v>
      </c>
      <c r="C79" s="38">
        <f t="shared" si="0"/>
        <v>0.38333333333333336</v>
      </c>
      <c r="D79" s="37"/>
      <c r="E79" s="37" cm="1">
        <f t="array" ref="E79">IF(ISNUMBER(SEARCH(".5",B79)),(E78+E80)/2,INDEX(Regen!$A$1:$Z$123,MATCH(ROUND(B79,0),Regen!$A:$A,0),Berechnung_Versickerung!$J$9))</f>
        <v>180.7214031</v>
      </c>
      <c r="F79" s="37">
        <f t="shared" si="1"/>
        <v>4.7855027540880002</v>
      </c>
      <c r="G79" s="37">
        <f t="shared" si="2"/>
        <v>6.6039938006414403</v>
      </c>
      <c r="H79" s="37">
        <f t="shared" si="5"/>
        <v>2.2999999999999998</v>
      </c>
      <c r="I79" s="37">
        <f t="shared" si="3"/>
        <v>4.3039938006414404</v>
      </c>
      <c r="O79" s="32"/>
      <c r="T79" s="7"/>
      <c r="W79" s="7"/>
      <c r="Z79" s="31"/>
      <c r="AC79" s="7"/>
      <c r="AL79" s="7"/>
      <c r="AM79" s="7"/>
    </row>
    <row r="80" spans="2:39">
      <c r="B80" s="33">
        <f t="shared" si="6"/>
        <v>23.5</v>
      </c>
      <c r="C80" s="38">
        <f t="shared" si="0"/>
        <v>0.39166666666666666</v>
      </c>
      <c r="D80" s="37"/>
      <c r="E80" s="37" cm="1">
        <f t="array" ref="E80">IF(ISNUMBER(SEARCH(".5",B80)),(E79+E81)/2,INDEX(Regen!$A$1:$Z$123,MATCH(ROUND(B80,0),Regen!$A:$A,0),Berechnung_Versickerung!$J$9))</f>
        <v>178.02951115000002</v>
      </c>
      <c r="F80" s="37">
        <f t="shared" si="1"/>
        <v>4.7142214552520008</v>
      </c>
      <c r="G80" s="37">
        <f t="shared" si="2"/>
        <v>6.647052251905321</v>
      </c>
      <c r="H80" s="37">
        <f t="shared" si="5"/>
        <v>2.35</v>
      </c>
      <c r="I80" s="37">
        <f t="shared" si="3"/>
        <v>4.2970522519053205</v>
      </c>
      <c r="O80" s="32"/>
      <c r="T80" s="7"/>
      <c r="W80" s="7"/>
      <c r="Z80" s="31"/>
      <c r="AC80" s="7"/>
      <c r="AL80" s="7"/>
      <c r="AM80" s="7"/>
    </row>
    <row r="81" spans="2:39">
      <c r="B81" s="33">
        <f t="shared" si="6"/>
        <v>24</v>
      </c>
      <c r="C81" s="38">
        <f t="shared" si="0"/>
        <v>0.4</v>
      </c>
      <c r="D81" s="37"/>
      <c r="E81" s="37" cm="1">
        <f t="array" ref="E81">IF(ISNUMBER(SEARCH(".5",B81)),(E80+E82)/2,INDEX(Regen!$A$1:$Z$123,MATCH(ROUND(B81,0),Regen!$A:$A,0),Berechnung_Versickerung!$J$9))</f>
        <v>175.33761920000001</v>
      </c>
      <c r="F81" s="37">
        <f t="shared" si="1"/>
        <v>4.6429401564160004</v>
      </c>
      <c r="G81" s="37">
        <f t="shared" si="2"/>
        <v>6.6858338252390404</v>
      </c>
      <c r="H81" s="37">
        <f t="shared" si="5"/>
        <v>2.4</v>
      </c>
      <c r="I81" s="37">
        <f t="shared" si="3"/>
        <v>4.28583382523904</v>
      </c>
      <c r="O81" s="32"/>
      <c r="T81" s="7"/>
      <c r="W81" s="7"/>
      <c r="Z81" s="31"/>
      <c r="AC81" s="7"/>
      <c r="AL81" s="7"/>
      <c r="AM81" s="7"/>
    </row>
    <row r="82" spans="2:39">
      <c r="B82" s="33">
        <f t="shared" si="6"/>
        <v>24.5</v>
      </c>
      <c r="C82" s="38">
        <f t="shared" si="0"/>
        <v>0.40833333333333333</v>
      </c>
      <c r="D82" s="37"/>
      <c r="E82" s="37" cm="1">
        <f t="array" ref="E82">IF(ISNUMBER(SEARCH(".5",B82)),(E81+E83)/2,INDEX(Regen!$A$1:$Z$123,MATCH(ROUND(B82,0),Regen!$A:$A,0),Berechnung_Versickerung!$J$9))</f>
        <v>172.83304375</v>
      </c>
      <c r="F82" s="37">
        <f t="shared" si="1"/>
        <v>4.5766189984999999</v>
      </c>
      <c r="G82" s="37">
        <f t="shared" si="2"/>
        <v>6.7276299277950002</v>
      </c>
      <c r="H82" s="37">
        <f t="shared" si="5"/>
        <v>2.4500000000000002</v>
      </c>
      <c r="I82" s="37">
        <f t="shared" si="3"/>
        <v>4.2776299277950001</v>
      </c>
      <c r="O82" s="32"/>
      <c r="T82" s="7"/>
      <c r="W82" s="7"/>
      <c r="Z82" s="31"/>
      <c r="AC82" s="7"/>
      <c r="AL82" s="7"/>
      <c r="AM82" s="7"/>
    </row>
    <row r="83" spans="2:39">
      <c r="B83" s="33">
        <f t="shared" si="6"/>
        <v>25</v>
      </c>
      <c r="C83" s="38">
        <f t="shared" si="0"/>
        <v>0.41666666666666669</v>
      </c>
      <c r="D83" s="37"/>
      <c r="E83" s="37" cm="1">
        <f t="array" ref="E83">IF(ISNUMBER(SEARCH(".5",B83)),(E82+E84)/2,INDEX(Regen!$A$1:$Z$123,MATCH(ROUND(B83,0),Regen!$A:$A,0),Berechnung_Versickerung!$J$9))</f>
        <v>170.3284683</v>
      </c>
      <c r="F83" s="37">
        <f t="shared" si="1"/>
        <v>4.5102978405840002</v>
      </c>
      <c r="G83" s="37">
        <f t="shared" si="2"/>
        <v>6.7654467608760003</v>
      </c>
      <c r="H83" s="37">
        <f t="shared" si="5"/>
        <v>2.5</v>
      </c>
      <c r="I83" s="37">
        <f t="shared" si="3"/>
        <v>4.2654467608760003</v>
      </c>
      <c r="O83" s="32"/>
      <c r="T83" s="7"/>
      <c r="W83" s="7"/>
      <c r="Z83" s="31"/>
      <c r="AC83" s="7"/>
      <c r="AL83" s="7"/>
      <c r="AM83" s="7"/>
    </row>
    <row r="84" spans="2:39">
      <c r="B84" s="33">
        <f t="shared" si="6"/>
        <v>25.5</v>
      </c>
      <c r="C84" s="38">
        <f t="shared" si="0"/>
        <v>0.42499999999999999</v>
      </c>
      <c r="D84" s="37"/>
      <c r="E84" s="37" cm="1">
        <f t="array" ref="E84">IF(ISNUMBER(SEARCH(".5",B84)),(E83+E85)/2,INDEX(Regen!$A$1:$Z$123,MATCH(ROUND(B84,0),Regen!$A:$A,0),Berechnung_Versickerung!$J$9))</f>
        <v>167.9913865</v>
      </c>
      <c r="F84" s="37">
        <f t="shared" si="1"/>
        <v>4.4484119145200003</v>
      </c>
      <c r="G84" s="37">
        <f t="shared" si="2"/>
        <v>6.8060702292156012</v>
      </c>
      <c r="H84" s="37">
        <f t="shared" si="5"/>
        <v>2.5500000000000003</v>
      </c>
      <c r="I84" s="37">
        <f t="shared" si="3"/>
        <v>4.2560702292156005</v>
      </c>
      <c r="O84" s="32"/>
      <c r="T84" s="7"/>
      <c r="W84" s="7"/>
      <c r="Z84" s="31"/>
      <c r="AC84" s="7"/>
      <c r="AL84" s="7"/>
      <c r="AM84" s="7"/>
    </row>
    <row r="85" spans="2:39">
      <c r="B85" s="33">
        <f t="shared" si="6"/>
        <v>26</v>
      </c>
      <c r="C85" s="38">
        <f t="shared" si="0"/>
        <v>0.43333333333333335</v>
      </c>
      <c r="D85" s="37"/>
      <c r="E85" s="37" cm="1">
        <f t="array" ref="E85">IF(ISNUMBER(SEARCH(".5",B85)),(E84+E86)/2,INDEX(Regen!$A$1:$Z$123,MATCH(ROUND(B85,0),Regen!$A:$A,0),Berechnung_Versickerung!$J$9))</f>
        <v>165.65430470000001</v>
      </c>
      <c r="F85" s="37">
        <f t="shared" si="1"/>
        <v>4.3865259884560004</v>
      </c>
      <c r="G85" s="37">
        <f t="shared" si="2"/>
        <v>6.842980541991361</v>
      </c>
      <c r="H85" s="37">
        <f t="shared" si="5"/>
        <v>2.6</v>
      </c>
      <c r="I85" s="37">
        <f t="shared" si="3"/>
        <v>4.2429805419913613</v>
      </c>
      <c r="O85" s="32"/>
      <c r="T85" s="7"/>
      <c r="W85" s="7"/>
      <c r="Z85" s="31"/>
      <c r="AC85" s="7"/>
      <c r="AL85" s="7"/>
      <c r="AM85" s="7"/>
    </row>
    <row r="86" spans="2:39">
      <c r="B86" s="33">
        <f t="shared" si="6"/>
        <v>26.5</v>
      </c>
      <c r="C86" s="38">
        <f t="shared" si="0"/>
        <v>0.44166666666666665</v>
      </c>
      <c r="D86" s="37"/>
      <c r="E86" s="37" cm="1">
        <f t="array" ref="E86">IF(ISNUMBER(SEARCH(".5",B86)),(E85+E87)/2,INDEX(Regen!$A$1:$Z$123,MATCH(ROUND(B86,0),Regen!$A:$A,0),Berechnung_Versickerung!$J$9))</f>
        <v>163.46765414999999</v>
      </c>
      <c r="F86" s="37">
        <f t="shared" si="1"/>
        <v>4.3286234818919995</v>
      </c>
      <c r="G86" s="37">
        <f t="shared" si="2"/>
        <v>6.882511336208279</v>
      </c>
      <c r="H86" s="37">
        <f t="shared" si="5"/>
        <v>2.6500000000000004</v>
      </c>
      <c r="I86" s="37">
        <f t="shared" si="3"/>
        <v>4.2325113362082787</v>
      </c>
      <c r="O86" s="32"/>
      <c r="T86" s="7"/>
      <c r="W86" s="7"/>
      <c r="Z86" s="31"/>
      <c r="AC86" s="7"/>
      <c r="AL86" s="7"/>
      <c r="AM86" s="7"/>
    </row>
    <row r="87" spans="2:39">
      <c r="B87" s="33">
        <f t="shared" si="6"/>
        <v>27</v>
      </c>
      <c r="C87" s="38">
        <f t="shared" si="0"/>
        <v>0.45</v>
      </c>
      <c r="D87" s="37"/>
      <c r="E87" s="37" cm="1">
        <f t="array" ref="E87">IF(ISNUMBER(SEARCH(".5",B87)),(E86+E88)/2,INDEX(Regen!$A$1:$Z$123,MATCH(ROUND(B87,0),Regen!$A:$A,0),Berechnung_Versickerung!$J$9))</f>
        <v>161.28100359999999</v>
      </c>
      <c r="F87" s="37">
        <f t="shared" si="1"/>
        <v>4.2707209753279995</v>
      </c>
      <c r="G87" s="37">
        <f t="shared" si="2"/>
        <v>6.9185679800313595</v>
      </c>
      <c r="H87" s="37">
        <f t="shared" si="5"/>
        <v>2.7</v>
      </c>
      <c r="I87" s="37">
        <f t="shared" si="3"/>
        <v>4.2185679800313594</v>
      </c>
      <c r="O87" s="32"/>
      <c r="T87" s="7"/>
      <c r="W87" s="7"/>
      <c r="Z87" s="31"/>
      <c r="AC87" s="7"/>
      <c r="AL87" s="7"/>
      <c r="AM87" s="7"/>
    </row>
    <row r="88" spans="2:39">
      <c r="B88" s="33">
        <f t="shared" si="6"/>
        <v>27.5</v>
      </c>
      <c r="C88" s="38">
        <f t="shared" si="0"/>
        <v>0.45833333333333331</v>
      </c>
      <c r="D88" s="37"/>
      <c r="E88" s="37" cm="1">
        <f t="array" ref="E88">IF(ISNUMBER(SEARCH(".5",B88)),(E87+E89)/2,INDEX(Regen!$A$1:$Z$123,MATCH(ROUND(B88,0),Regen!$A:$A,0),Berechnung_Versickerung!$J$9))</f>
        <v>159.23001249999999</v>
      </c>
      <c r="F88" s="37">
        <f t="shared" si="1"/>
        <v>4.2164107309999999</v>
      </c>
      <c r="G88" s="37">
        <f t="shared" si="2"/>
        <v>6.9570777061500007</v>
      </c>
      <c r="H88" s="37">
        <f t="shared" si="5"/>
        <v>2.75</v>
      </c>
      <c r="I88" s="37">
        <f t="shared" si="3"/>
        <v>4.2070777061500007</v>
      </c>
      <c r="O88" s="32"/>
      <c r="T88" s="7"/>
      <c r="W88" s="7"/>
      <c r="Z88" s="31"/>
      <c r="AC88" s="7"/>
      <c r="AL88" s="7"/>
      <c r="AM88" s="7"/>
    </row>
    <row r="89" spans="2:39">
      <c r="B89" s="33">
        <f t="shared" si="6"/>
        <v>28</v>
      </c>
      <c r="C89" s="38">
        <f t="shared" si="0"/>
        <v>0.46666666666666667</v>
      </c>
      <c r="D89" s="37"/>
      <c r="E89" s="37" cm="1">
        <f t="array" ref="E89">IF(ISNUMBER(SEARCH(".5",B89)),(E88+E90)/2,INDEX(Regen!$A$1:$Z$123,MATCH(ROUND(B89,0),Regen!$A:$A,0),Berechnung_Versickerung!$J$9))</f>
        <v>157.17902140000001</v>
      </c>
      <c r="F89" s="37">
        <f t="shared" si="1"/>
        <v>4.1621004866720002</v>
      </c>
      <c r="G89" s="37">
        <f t="shared" si="2"/>
        <v>6.9923288176089597</v>
      </c>
      <c r="H89" s="37">
        <f t="shared" si="5"/>
        <v>2.8</v>
      </c>
      <c r="I89" s="37">
        <f t="shared" si="3"/>
        <v>4.1923288176089599</v>
      </c>
      <c r="O89" s="32"/>
      <c r="T89" s="7"/>
      <c r="W89" s="7"/>
      <c r="Z89" s="31"/>
      <c r="AC89" s="7"/>
      <c r="AL89" s="7"/>
      <c r="AM89" s="7"/>
    </row>
    <row r="90" spans="2:39">
      <c r="B90" s="33">
        <f t="shared" si="6"/>
        <v>28.5</v>
      </c>
      <c r="C90" s="38">
        <f t="shared" si="0"/>
        <v>0.47499999999999998</v>
      </c>
      <c r="D90" s="37"/>
      <c r="E90" s="37" cm="1">
        <f t="array" ref="E90">IF(ISNUMBER(SEARCH(".5",B90)),(E89+E91)/2,INDEX(Regen!$A$1:$Z$123,MATCH(ROUND(B90,0),Regen!$A:$A,0),Berechnung_Versickerung!$J$9))</f>
        <v>155.250832</v>
      </c>
      <c r="F90" s="37">
        <f t="shared" si="1"/>
        <v>4.1110420313600002</v>
      </c>
      <c r="G90" s="37">
        <f t="shared" si="2"/>
        <v>7.0298818736256008</v>
      </c>
      <c r="H90" s="37">
        <f t="shared" si="5"/>
        <v>2.85</v>
      </c>
      <c r="I90" s="37">
        <f t="shared" si="3"/>
        <v>4.1798818736256003</v>
      </c>
      <c r="O90" s="32"/>
      <c r="T90" s="7"/>
      <c r="W90" s="7"/>
      <c r="Z90" s="31"/>
      <c r="AC90" s="7"/>
      <c r="AL90" s="7"/>
      <c r="AM90" s="7"/>
    </row>
    <row r="91" spans="2:39">
      <c r="B91" s="33">
        <f t="shared" si="6"/>
        <v>29</v>
      </c>
      <c r="C91" s="38">
        <f t="shared" si="0"/>
        <v>0.48333333333333334</v>
      </c>
      <c r="D91" s="37"/>
      <c r="E91" s="37" cm="1">
        <f t="array" ref="E91">IF(ISNUMBER(SEARCH(".5",B91)),(E90+E92)/2,INDEX(Regen!$A$1:$Z$123,MATCH(ROUND(B91,0),Regen!$A:$A,0),Berechnung_Versickerung!$J$9))</f>
        <v>153.32264259999999</v>
      </c>
      <c r="F91" s="37">
        <f t="shared" si="1"/>
        <v>4.0599835760480003</v>
      </c>
      <c r="G91" s="37">
        <f t="shared" si="2"/>
        <v>7.0643714223235214</v>
      </c>
      <c r="H91" s="37">
        <f t="shared" si="5"/>
        <v>2.9</v>
      </c>
      <c r="I91" s="37">
        <f t="shared" si="3"/>
        <v>4.1643714223235211</v>
      </c>
      <c r="O91" s="32"/>
      <c r="T91" s="7"/>
      <c r="W91" s="7"/>
      <c r="Z91" s="31"/>
      <c r="AC91" s="7"/>
      <c r="AL91" s="7"/>
      <c r="AM91" s="7"/>
    </row>
    <row r="92" spans="2:39">
      <c r="B92" s="33">
        <f t="shared" si="6"/>
        <v>29.5</v>
      </c>
      <c r="C92" s="38">
        <f t="shared" si="0"/>
        <v>0.49166666666666664</v>
      </c>
      <c r="D92" s="37"/>
      <c r="E92" s="37" cm="1">
        <f t="array" ref="E92">IF(ISNUMBER(SEARCH(".5",B92)),(E91+E93)/2,INDEX(Regen!$A$1:$Z$123,MATCH(ROUND(B92,0),Regen!$A:$A,0),Berechnung_Versickerung!$J$9))</f>
        <v>151.50600735</v>
      </c>
      <c r="F92" s="37">
        <f t="shared" si="1"/>
        <v>4.0118790746280002</v>
      </c>
      <c r="G92" s="37">
        <f t="shared" si="2"/>
        <v>7.1010259620915601</v>
      </c>
      <c r="H92" s="37">
        <f t="shared" si="5"/>
        <v>2.95</v>
      </c>
      <c r="I92" s="37">
        <f t="shared" si="3"/>
        <v>4.1510259620915599</v>
      </c>
      <c r="O92" s="32"/>
      <c r="T92" s="7"/>
      <c r="W92" s="7"/>
      <c r="Z92" s="31"/>
      <c r="AC92" s="7"/>
      <c r="AL92" s="7"/>
      <c r="AM92" s="7"/>
    </row>
    <row r="93" spans="2:39">
      <c r="B93" s="33">
        <f t="shared" si="6"/>
        <v>30</v>
      </c>
      <c r="C93" s="38">
        <f t="shared" si="0"/>
        <v>0.5</v>
      </c>
      <c r="D93" s="37"/>
      <c r="E93" s="37" cm="1">
        <f t="array" ref="E93">IF(ISNUMBER(SEARCH(".5",B93)),(E92+E94)/2,INDEX(Regen!$A$1:$Z$123,MATCH(ROUND(B93,0),Regen!$A:$A,0),Berechnung_Versickerung!$J$9))</f>
        <v>149.68937210000001</v>
      </c>
      <c r="F93" s="37">
        <f t="shared" si="1"/>
        <v>3.9637745732080005</v>
      </c>
      <c r="G93" s="37">
        <f t="shared" si="2"/>
        <v>7.1347942317744009</v>
      </c>
      <c r="H93" s="37">
        <f t="shared" si="5"/>
        <v>3</v>
      </c>
      <c r="I93" s="37">
        <f t="shared" si="3"/>
        <v>4.1347942317744009</v>
      </c>
      <c r="O93" s="32"/>
      <c r="T93" s="7"/>
      <c r="W93" s="7"/>
      <c r="Z93" s="31"/>
      <c r="AC93" s="7"/>
      <c r="AL93" s="7"/>
      <c r="AM93" s="7"/>
    </row>
    <row r="94" spans="2:39">
      <c r="B94" s="33">
        <f t="shared" si="6"/>
        <v>30.5</v>
      </c>
      <c r="C94" s="38">
        <f t="shared" si="0"/>
        <v>0.5083333333333333</v>
      </c>
      <c r="D94" s="37"/>
      <c r="E94" s="37" cm="1">
        <f t="array" ref="E94">IF(ISNUMBER(SEARCH(".5",B94)),(E93+E95)/2,INDEX(Regen!$A$1:$Z$123,MATCH(ROUND(B94,0),Regen!$A:$A,0),Berechnung_Versickerung!$J$9))</f>
        <v>147.97440610000001</v>
      </c>
      <c r="F94" s="37">
        <f t="shared" si="1"/>
        <v>3.9183622735280004</v>
      </c>
      <c r="G94" s="37">
        <f t="shared" si="2"/>
        <v>7.1706029605562396</v>
      </c>
      <c r="H94" s="37">
        <f t="shared" si="5"/>
        <v>3.0500000000000003</v>
      </c>
      <c r="I94" s="37">
        <f t="shared" si="3"/>
        <v>4.1206029605562389</v>
      </c>
      <c r="O94" s="32"/>
      <c r="T94" s="7"/>
      <c r="W94" s="7"/>
      <c r="Z94" s="31"/>
      <c r="AC94" s="7"/>
      <c r="AL94" s="7"/>
      <c r="AM94" s="7"/>
    </row>
    <row r="95" spans="2:39">
      <c r="B95" s="33">
        <f t="shared" si="6"/>
        <v>31</v>
      </c>
      <c r="C95" s="38">
        <f t="shared" si="0"/>
        <v>0.51666666666666672</v>
      </c>
      <c r="D95" s="37"/>
      <c r="E95" s="37" cm="1">
        <f t="array" ref="E95">IF(ISNUMBER(SEARCH(".5",B95)),(E94+E96)/2,INDEX(Regen!$A$1:$Z$123,MATCH(ROUND(B95,0),Regen!$A:$A,0),Berechnung_Versickerung!$J$9))</f>
        <v>146.25944010000001</v>
      </c>
      <c r="F95" s="37">
        <f t="shared" si="1"/>
        <v>3.8729499738480002</v>
      </c>
      <c r="G95" s="37">
        <f t="shared" si="2"/>
        <v>7.2036869513572803</v>
      </c>
      <c r="H95" s="37">
        <f t="shared" si="5"/>
        <v>3.1</v>
      </c>
      <c r="I95" s="37">
        <f t="shared" si="3"/>
        <v>4.1036869513572807</v>
      </c>
      <c r="O95" s="32"/>
      <c r="T95" s="7"/>
      <c r="W95" s="7"/>
      <c r="Z95" s="31"/>
      <c r="AC95" s="7"/>
      <c r="AL95" s="7"/>
      <c r="AM95" s="7"/>
    </row>
    <row r="96" spans="2:39">
      <c r="B96" s="33">
        <f t="shared" si="6"/>
        <v>31.5</v>
      </c>
      <c r="C96" s="38">
        <f t="shared" si="0"/>
        <v>0.52500000000000002</v>
      </c>
      <c r="D96" s="37"/>
      <c r="E96" s="37" cm="1">
        <f t="array" ref="E96">IF(ISNUMBER(SEARCH(".5",B96)),(E95+E97)/2,INDEX(Regen!$A$1:$Z$123,MATCH(ROUND(B96,0),Regen!$A:$A,0),Berechnung_Versickerung!$J$9))</f>
        <v>144.63741850000002</v>
      </c>
      <c r="F96" s="37">
        <f t="shared" si="1"/>
        <v>3.8299988418800006</v>
      </c>
      <c r="G96" s="37">
        <f t="shared" si="2"/>
        <v>7.2386978111532017</v>
      </c>
      <c r="H96" s="37">
        <f t="shared" si="5"/>
        <v>3.15</v>
      </c>
      <c r="I96" s="37">
        <f t="shared" si="3"/>
        <v>4.0886978111532013</v>
      </c>
      <c r="O96" s="32"/>
      <c r="T96" s="7"/>
      <c r="W96" s="7"/>
      <c r="Z96" s="31"/>
      <c r="AC96" s="7"/>
      <c r="AL96" s="7"/>
      <c r="AM96" s="7"/>
    </row>
    <row r="97" spans="2:39">
      <c r="B97" s="33">
        <f t="shared" si="6"/>
        <v>32</v>
      </c>
      <c r="C97" s="38">
        <f t="shared" ref="C97:C160" si="7">B97/60</f>
        <v>0.53333333333333333</v>
      </c>
      <c r="D97" s="37"/>
      <c r="E97" s="37" cm="1">
        <f t="array" ref="E97">IF(ISNUMBER(SEARCH(".5",B97)),(E96+E98)/2,INDEX(Regen!$A$1:$Z$123,MATCH(ROUND(B97,0),Regen!$A:$A,0),Berechnung_Versickerung!$J$9))</f>
        <v>143.01539690000001</v>
      </c>
      <c r="F97" s="37">
        <f t="shared" ref="F97:F160" si="8">E97*$B$12</f>
        <v>3.7870477099120006</v>
      </c>
      <c r="G97" s="37">
        <f t="shared" ref="G97:G160" si="9">F97*60*B97/1000</f>
        <v>7.2711316030310407</v>
      </c>
      <c r="H97" s="37">
        <f t="shared" si="5"/>
        <v>3.2</v>
      </c>
      <c r="I97" s="37">
        <f t="shared" ref="I97:I160" si="10">G97-H97</f>
        <v>4.0711316030310405</v>
      </c>
      <c r="O97" s="32"/>
      <c r="T97" s="7"/>
      <c r="W97" s="7"/>
      <c r="Z97" s="31"/>
      <c r="AC97" s="7"/>
      <c r="AL97" s="7"/>
      <c r="AM97" s="7"/>
    </row>
    <row r="98" spans="2:39">
      <c r="B98" s="33">
        <f t="shared" si="6"/>
        <v>32.5</v>
      </c>
      <c r="C98" s="38">
        <f t="shared" si="7"/>
        <v>0.54166666666666663</v>
      </c>
      <c r="D98" s="37"/>
      <c r="E98" s="37" cm="1">
        <f t="array" ref="E98">IF(ISNUMBER(SEARCH(".5",B98)),(E97+E99)/2,INDEX(Regen!$A$1:$Z$123,MATCH(ROUND(B98,0),Regen!$A:$A,0),Berechnung_Versickerung!$J$9))</f>
        <v>141.47858725</v>
      </c>
      <c r="F98" s="37">
        <f t="shared" si="8"/>
        <v>3.7463529903800001</v>
      </c>
      <c r="G98" s="37">
        <f t="shared" si="9"/>
        <v>7.3053883312409997</v>
      </c>
      <c r="H98" s="37">
        <f t="shared" ref="H98:H161" si="11">B98*60/1000*$B$19</f>
        <v>3.25</v>
      </c>
      <c r="I98" s="37">
        <f t="shared" si="10"/>
        <v>4.0553883312409997</v>
      </c>
      <c r="O98" s="32"/>
      <c r="T98" s="7"/>
      <c r="W98" s="7"/>
      <c r="Z98" s="31"/>
      <c r="AC98" s="7"/>
      <c r="AL98" s="7"/>
      <c r="AM98" s="7"/>
    </row>
    <row r="99" spans="2:39">
      <c r="B99" s="33">
        <f t="shared" si="6"/>
        <v>33</v>
      </c>
      <c r="C99" s="38">
        <f t="shared" si="7"/>
        <v>0.55000000000000004</v>
      </c>
      <c r="D99" s="37"/>
      <c r="E99" s="37" cm="1">
        <f t="array" ref="E99">IF(ISNUMBER(SEARCH(".5",B99)),(E98+E100)/2,INDEX(Regen!$A$1:$Z$123,MATCH(ROUND(B99,0),Regen!$A:$A,0),Berechnung_Versickerung!$J$9))</f>
        <v>139.94177759999999</v>
      </c>
      <c r="F99" s="37">
        <f t="shared" si="8"/>
        <v>3.7056582708479997</v>
      </c>
      <c r="G99" s="37">
        <f t="shared" si="9"/>
        <v>7.3372033762790396</v>
      </c>
      <c r="H99" s="37">
        <f t="shared" si="11"/>
        <v>3.3000000000000003</v>
      </c>
      <c r="I99" s="37">
        <f t="shared" si="10"/>
        <v>4.0372033762790398</v>
      </c>
      <c r="O99" s="32"/>
      <c r="T99" s="7"/>
      <c r="W99" s="7"/>
      <c r="Z99" s="31"/>
      <c r="AC99" s="7"/>
      <c r="AL99" s="7"/>
      <c r="AM99" s="7"/>
    </row>
    <row r="100" spans="2:39">
      <c r="B100" s="33">
        <f t="shared" ref="B100:B163" si="12">+B99+0.5</f>
        <v>33.5</v>
      </c>
      <c r="C100" s="38">
        <f t="shared" si="7"/>
        <v>0.55833333333333335</v>
      </c>
      <c r="D100" s="37"/>
      <c r="E100" s="37" cm="1">
        <f t="array" ref="E100">IF(ISNUMBER(SEARCH(".5",B100)),(E99+E101)/2,INDEX(Regen!$A$1:$Z$123,MATCH(ROUND(B100,0),Regen!$A:$A,0),Berechnung_Versickerung!$J$9))</f>
        <v>138.48330110000001</v>
      </c>
      <c r="F100" s="37">
        <f t="shared" si="8"/>
        <v>3.6670378131280001</v>
      </c>
      <c r="G100" s="37">
        <f t="shared" si="9"/>
        <v>7.3707460043872803</v>
      </c>
      <c r="H100" s="37">
        <f t="shared" si="11"/>
        <v>3.3499999999999996</v>
      </c>
      <c r="I100" s="37">
        <f t="shared" si="10"/>
        <v>4.0207460043872807</v>
      </c>
      <c r="O100" s="32"/>
      <c r="T100" s="7"/>
      <c r="W100" s="7"/>
      <c r="Z100" s="31"/>
      <c r="AC100" s="7"/>
      <c r="AL100" s="7"/>
      <c r="AM100" s="7"/>
    </row>
    <row r="101" spans="2:39">
      <c r="B101" s="33">
        <f t="shared" si="12"/>
        <v>34</v>
      </c>
      <c r="C101" s="38">
        <f t="shared" si="7"/>
        <v>0.56666666666666665</v>
      </c>
      <c r="D101" s="37"/>
      <c r="E101" s="37" cm="1">
        <f t="array" ref="E101">IF(ISNUMBER(SEARCH(".5",B101)),(E100+E102)/2,INDEX(Regen!$A$1:$Z$123,MATCH(ROUND(B101,0),Regen!$A:$A,0),Berechnung_Versickerung!$J$9))</f>
        <v>137.02482459999999</v>
      </c>
      <c r="F101" s="37">
        <f t="shared" si="8"/>
        <v>3.6284173554079997</v>
      </c>
      <c r="G101" s="37">
        <f t="shared" si="9"/>
        <v>7.4019714050323202</v>
      </c>
      <c r="H101" s="37">
        <f t="shared" si="11"/>
        <v>3.4000000000000004</v>
      </c>
      <c r="I101" s="37">
        <f t="shared" si="10"/>
        <v>4.0019714050323199</v>
      </c>
      <c r="O101" s="32"/>
      <c r="T101" s="7"/>
      <c r="W101" s="7"/>
      <c r="Z101" s="31"/>
      <c r="AC101" s="7"/>
      <c r="AL101" s="7"/>
      <c r="AM101" s="7"/>
    </row>
    <row r="102" spans="2:39">
      <c r="B102" s="33">
        <f t="shared" si="12"/>
        <v>34.5</v>
      </c>
      <c r="C102" s="38">
        <f t="shared" si="7"/>
        <v>0.57499999999999996</v>
      </c>
      <c r="D102" s="37"/>
      <c r="E102" s="37" cm="1">
        <f t="array" ref="E102">IF(ISNUMBER(SEARCH(".5",B102)),(E101+E103)/2,INDEX(Regen!$A$1:$Z$123,MATCH(ROUND(B102,0),Regen!$A:$A,0),Berechnung_Versickerung!$J$9))</f>
        <v>135.63853994999999</v>
      </c>
      <c r="F102" s="37">
        <f t="shared" si="8"/>
        <v>3.5917085378759999</v>
      </c>
      <c r="G102" s="37">
        <f t="shared" si="9"/>
        <v>7.4348366734033196</v>
      </c>
      <c r="H102" s="37">
        <f t="shared" si="11"/>
        <v>3.4499999999999997</v>
      </c>
      <c r="I102" s="37">
        <f t="shared" si="10"/>
        <v>3.9848366734033198</v>
      </c>
      <c r="O102" s="32"/>
      <c r="T102" s="7"/>
      <c r="W102" s="7"/>
      <c r="Z102" s="31"/>
      <c r="AC102" s="7"/>
      <c r="AL102" s="7"/>
      <c r="AM102" s="7"/>
    </row>
    <row r="103" spans="2:39">
      <c r="B103" s="33">
        <f t="shared" si="12"/>
        <v>35</v>
      </c>
      <c r="C103" s="38">
        <f t="shared" si="7"/>
        <v>0.58333333333333337</v>
      </c>
      <c r="D103" s="37"/>
      <c r="E103" s="37" cm="1">
        <f t="array" ref="E103">IF(ISNUMBER(SEARCH(".5",B103)),(E102+E104)/2,INDEX(Regen!$A$1:$Z$123,MATCH(ROUND(B103,0),Regen!$A:$A,0),Berechnung_Versickerung!$J$9))</f>
        <v>134.2522553</v>
      </c>
      <c r="F103" s="37">
        <f t="shared" si="8"/>
        <v>3.554999720344</v>
      </c>
      <c r="G103" s="37">
        <f t="shared" si="9"/>
        <v>7.4654994127223997</v>
      </c>
      <c r="H103" s="37">
        <f t="shared" si="11"/>
        <v>3.5000000000000004</v>
      </c>
      <c r="I103" s="37">
        <f t="shared" si="10"/>
        <v>3.9654994127223993</v>
      </c>
      <c r="O103" s="32"/>
      <c r="T103" s="7"/>
      <c r="W103" s="7"/>
      <c r="Z103" s="31"/>
      <c r="AC103" s="7"/>
      <c r="AL103" s="7"/>
      <c r="AM103" s="7"/>
    </row>
    <row r="104" spans="2:39">
      <c r="B104" s="33">
        <f t="shared" si="12"/>
        <v>35.5</v>
      </c>
      <c r="C104" s="38">
        <f t="shared" si="7"/>
        <v>0.59166666666666667</v>
      </c>
      <c r="D104" s="37"/>
      <c r="E104" s="37" cm="1">
        <f t="array" ref="E104">IF(ISNUMBER(SEARCH(".5",B104)),(E103+E105)/2,INDEX(Regen!$A$1:$Z$123,MATCH(ROUND(B104,0),Regen!$A:$A,0),Berechnung_Versickerung!$J$9))</f>
        <v>132.93266115</v>
      </c>
      <c r="F104" s="37">
        <f t="shared" si="8"/>
        <v>3.5200568672519998</v>
      </c>
      <c r="G104" s="37">
        <f t="shared" si="9"/>
        <v>7.4977211272467592</v>
      </c>
      <c r="H104" s="37">
        <f t="shared" si="11"/>
        <v>3.55</v>
      </c>
      <c r="I104" s="37">
        <f t="shared" si="10"/>
        <v>3.9477211272467594</v>
      </c>
      <c r="O104" s="32"/>
      <c r="T104" s="7"/>
      <c r="W104" s="7"/>
      <c r="Z104" s="31"/>
      <c r="AC104" s="7"/>
      <c r="AL104" s="7"/>
      <c r="AM104" s="7"/>
    </row>
    <row r="105" spans="2:39">
      <c r="B105" s="33">
        <f t="shared" si="12"/>
        <v>36</v>
      </c>
      <c r="C105" s="38">
        <f t="shared" si="7"/>
        <v>0.6</v>
      </c>
      <c r="D105" s="37"/>
      <c r="E105" s="37" cm="1">
        <f t="array" ref="E105">IF(ISNUMBER(SEARCH(".5",B105)),(E104+E106)/2,INDEX(Regen!$A$1:$Z$123,MATCH(ROUND(B105,0),Regen!$A:$A,0),Berechnung_Versickerung!$J$9))</f>
        <v>131.613067</v>
      </c>
      <c r="F105" s="37">
        <f t="shared" si="8"/>
        <v>3.4851140141600001</v>
      </c>
      <c r="G105" s="37">
        <f t="shared" si="9"/>
        <v>7.5278462705856013</v>
      </c>
      <c r="H105" s="37">
        <f t="shared" si="11"/>
        <v>3.6000000000000005</v>
      </c>
      <c r="I105" s="37">
        <f t="shared" si="10"/>
        <v>3.9278462705856008</v>
      </c>
      <c r="O105" s="32"/>
      <c r="T105" s="7"/>
      <c r="W105" s="7"/>
      <c r="Z105" s="31"/>
      <c r="AC105" s="7"/>
      <c r="AL105" s="7"/>
      <c r="AM105" s="7"/>
    </row>
    <row r="106" spans="2:39">
      <c r="B106" s="33">
        <f t="shared" si="12"/>
        <v>36.5</v>
      </c>
      <c r="C106" s="38">
        <f t="shared" si="7"/>
        <v>0.60833333333333328</v>
      </c>
      <c r="D106" s="37"/>
      <c r="E106" s="37" cm="1">
        <f t="array" ref="E106">IF(ISNUMBER(SEARCH(".5",B106)),(E105+E107)/2,INDEX(Regen!$A$1:$Z$123,MATCH(ROUND(B106,0),Regen!$A:$A,0),Berechnung_Versickerung!$J$9))</f>
        <v>130.35521985</v>
      </c>
      <c r="F106" s="37">
        <f t="shared" si="8"/>
        <v>3.4518062216279999</v>
      </c>
      <c r="G106" s="37">
        <f t="shared" si="9"/>
        <v>7.5594556253653202</v>
      </c>
      <c r="H106" s="37">
        <f t="shared" si="11"/>
        <v>3.65</v>
      </c>
      <c r="I106" s="37">
        <f t="shared" si="10"/>
        <v>3.9094556253653203</v>
      </c>
      <c r="O106" s="32"/>
      <c r="T106" s="7"/>
      <c r="W106" s="7"/>
      <c r="Z106" s="31"/>
      <c r="AC106" s="7"/>
      <c r="AL106" s="7"/>
      <c r="AM106" s="7"/>
    </row>
    <row r="107" spans="2:39">
      <c r="B107" s="33">
        <f t="shared" si="12"/>
        <v>37</v>
      </c>
      <c r="C107" s="38">
        <f t="shared" si="7"/>
        <v>0.6166666666666667</v>
      </c>
      <c r="D107" s="37"/>
      <c r="E107" s="37" cm="1">
        <f t="array" ref="E107">IF(ISNUMBER(SEARCH(".5",B107)),(E106+E108)/2,INDEX(Regen!$A$1:$Z$123,MATCH(ROUND(B107,0),Regen!$A:$A,0),Berechnung_Versickerung!$J$9))</f>
        <v>129.09737269999999</v>
      </c>
      <c r="F107" s="37">
        <f t="shared" si="8"/>
        <v>3.4184984290959997</v>
      </c>
      <c r="G107" s="37">
        <f t="shared" si="9"/>
        <v>7.5890665125931189</v>
      </c>
      <c r="H107" s="37">
        <f t="shared" si="11"/>
        <v>3.7000000000000006</v>
      </c>
      <c r="I107" s="37">
        <f t="shared" si="10"/>
        <v>3.8890665125931183</v>
      </c>
      <c r="O107" s="32"/>
      <c r="T107" s="7"/>
      <c r="W107" s="7"/>
      <c r="Z107" s="31"/>
      <c r="AC107" s="7"/>
      <c r="AL107" s="7"/>
      <c r="AM107" s="7"/>
    </row>
    <row r="108" spans="2:39">
      <c r="B108" s="33">
        <f t="shared" si="12"/>
        <v>37.5</v>
      </c>
      <c r="C108" s="38">
        <f t="shared" si="7"/>
        <v>0.625</v>
      </c>
      <c r="D108" s="37"/>
      <c r="E108" s="37" cm="1">
        <f t="array" ref="E108">IF(ISNUMBER(SEARCH(".5",B108)),(E107+E109)/2,INDEX(Regen!$A$1:$Z$123,MATCH(ROUND(B108,0),Regen!$A:$A,0),Berechnung_Versickerung!$J$9))</f>
        <v>127.89681684999999</v>
      </c>
      <c r="F108" s="37">
        <f t="shared" si="8"/>
        <v>3.3867077101879999</v>
      </c>
      <c r="G108" s="37">
        <f t="shared" si="9"/>
        <v>7.6200923479229994</v>
      </c>
      <c r="H108" s="37">
        <f t="shared" si="11"/>
        <v>3.75</v>
      </c>
      <c r="I108" s="37">
        <f t="shared" si="10"/>
        <v>3.8700923479229994</v>
      </c>
      <c r="O108" s="32"/>
      <c r="T108" s="7"/>
      <c r="W108" s="7"/>
      <c r="Z108" s="31"/>
      <c r="AC108" s="7"/>
      <c r="AL108" s="7"/>
      <c r="AM108" s="7"/>
    </row>
    <row r="109" spans="2:39">
      <c r="B109" s="33">
        <f t="shared" si="12"/>
        <v>38</v>
      </c>
      <c r="C109" s="38">
        <f t="shared" si="7"/>
        <v>0.6333333333333333</v>
      </c>
      <c r="D109" s="37"/>
      <c r="E109" s="37" cm="1">
        <f t="array" ref="E109">IF(ISNUMBER(SEARCH(".5",B109)),(E108+E110)/2,INDEX(Regen!$A$1:$Z$123,MATCH(ROUND(B109,0),Regen!$A:$A,0),Berechnung_Versickerung!$J$9))</f>
        <v>126.69626100000001</v>
      </c>
      <c r="F109" s="37">
        <f t="shared" si="8"/>
        <v>3.3549169912800001</v>
      </c>
      <c r="G109" s="37">
        <f t="shared" si="9"/>
        <v>7.6492107401184004</v>
      </c>
      <c r="H109" s="37">
        <f t="shared" si="11"/>
        <v>3.8</v>
      </c>
      <c r="I109" s="37">
        <f t="shared" si="10"/>
        <v>3.8492107401184006</v>
      </c>
      <c r="O109" s="32"/>
      <c r="T109" s="7"/>
      <c r="W109" s="7"/>
      <c r="Z109" s="31"/>
      <c r="AC109" s="7"/>
      <c r="AL109" s="7"/>
      <c r="AM109" s="7"/>
    </row>
    <row r="110" spans="2:39">
      <c r="B110" s="33">
        <f t="shared" si="12"/>
        <v>38.5</v>
      </c>
      <c r="C110" s="38">
        <f t="shared" si="7"/>
        <v>0.64166666666666672</v>
      </c>
      <c r="D110" s="37"/>
      <c r="E110" s="37" cm="1">
        <f t="array" ref="E110">IF(ISNUMBER(SEARCH(".5",B110)),(E109+E111)/2,INDEX(Regen!$A$1:$Z$123,MATCH(ROUND(B110,0),Regen!$A:$A,0),Berechnung_Versickerung!$J$9))</f>
        <v>125.54896909999999</v>
      </c>
      <c r="F110" s="37">
        <f t="shared" si="8"/>
        <v>3.3245367017679999</v>
      </c>
      <c r="G110" s="37">
        <f t="shared" si="9"/>
        <v>7.6796797810840802</v>
      </c>
      <c r="H110" s="37">
        <f t="shared" si="11"/>
        <v>3.85</v>
      </c>
      <c r="I110" s="37">
        <f t="shared" si="10"/>
        <v>3.8296797810840801</v>
      </c>
      <c r="O110" s="32"/>
      <c r="T110" s="7"/>
      <c r="W110" s="7"/>
      <c r="Z110" s="31"/>
      <c r="AC110" s="7"/>
      <c r="AL110" s="7"/>
      <c r="AM110" s="7"/>
    </row>
    <row r="111" spans="2:39">
      <c r="B111" s="33">
        <f t="shared" si="12"/>
        <v>39</v>
      </c>
      <c r="C111" s="38">
        <f t="shared" si="7"/>
        <v>0.65</v>
      </c>
      <c r="D111" s="37"/>
      <c r="E111" s="37" cm="1">
        <f t="array" ref="E111">IF(ISNUMBER(SEARCH(".5",B111)),(E110+E112)/2,INDEX(Regen!$A$1:$Z$123,MATCH(ROUND(B111,0),Regen!$A:$A,0),Berechnung_Versickerung!$J$9))</f>
        <v>124.40167719999999</v>
      </c>
      <c r="F111" s="37">
        <f t="shared" si="8"/>
        <v>3.2941564122559996</v>
      </c>
      <c r="G111" s="37">
        <f t="shared" si="9"/>
        <v>7.7083260046790389</v>
      </c>
      <c r="H111" s="37">
        <f t="shared" si="11"/>
        <v>3.9</v>
      </c>
      <c r="I111" s="37">
        <f t="shared" si="10"/>
        <v>3.808326004679039</v>
      </c>
      <c r="O111" s="32"/>
      <c r="T111" s="7"/>
      <c r="W111" s="7"/>
      <c r="Z111" s="31"/>
      <c r="AC111" s="7"/>
      <c r="AL111" s="7"/>
      <c r="AM111" s="7"/>
    </row>
    <row r="112" spans="2:39">
      <c r="B112" s="33">
        <f t="shared" si="12"/>
        <v>39.5</v>
      </c>
      <c r="C112" s="38">
        <f t="shared" si="7"/>
        <v>0.65833333333333333</v>
      </c>
      <c r="D112" s="37"/>
      <c r="E112" s="37" cm="1">
        <f t="array" ref="E112">IF(ISNUMBER(SEARCH(".5",B112)),(E111+E113)/2,INDEX(Regen!$A$1:$Z$123,MATCH(ROUND(B112,0),Regen!$A:$A,0),Berechnung_Versickerung!$J$9))</f>
        <v>123.3039994</v>
      </c>
      <c r="F112" s="37">
        <f t="shared" si="8"/>
        <v>3.2650899041120001</v>
      </c>
      <c r="G112" s="37">
        <f t="shared" si="9"/>
        <v>7.7382630727454398</v>
      </c>
      <c r="H112" s="37">
        <f t="shared" si="11"/>
        <v>3.95</v>
      </c>
      <c r="I112" s="37">
        <f t="shared" si="10"/>
        <v>3.7882630727454396</v>
      </c>
      <c r="O112" s="32"/>
      <c r="T112" s="7"/>
      <c r="W112" s="7"/>
      <c r="Z112" s="31"/>
      <c r="AC112" s="7"/>
      <c r="AL112" s="7"/>
      <c r="AM112" s="7"/>
    </row>
    <row r="113" spans="2:39">
      <c r="B113" s="33">
        <f t="shared" si="12"/>
        <v>40</v>
      </c>
      <c r="C113" s="38">
        <f t="shared" si="7"/>
        <v>0.66666666666666663</v>
      </c>
      <c r="D113" s="37"/>
      <c r="E113" s="37" cm="1">
        <f t="array" ref="E113">IF(ISNUMBER(SEARCH(".5",B113)),(E112+E114)/2,INDEX(Regen!$A$1:$Z$123,MATCH(ROUND(B113,0),Regen!$A:$A,0),Berechnung_Versickerung!$J$9))</f>
        <v>122.2063216</v>
      </c>
      <c r="F113" s="37">
        <f t="shared" si="8"/>
        <v>3.236023395968</v>
      </c>
      <c r="G113" s="37">
        <f t="shared" si="9"/>
        <v>7.7664561503232008</v>
      </c>
      <c r="H113" s="37">
        <f t="shared" si="11"/>
        <v>4</v>
      </c>
      <c r="I113" s="37">
        <f t="shared" si="10"/>
        <v>3.7664561503232008</v>
      </c>
      <c r="O113" s="32"/>
      <c r="T113" s="7"/>
      <c r="W113" s="7"/>
      <c r="Z113" s="31"/>
      <c r="AC113" s="7"/>
      <c r="AL113" s="7"/>
      <c r="AM113" s="7"/>
    </row>
    <row r="114" spans="2:39">
      <c r="B114" s="33">
        <f t="shared" si="12"/>
        <v>40.5</v>
      </c>
      <c r="C114" s="38">
        <f t="shared" si="7"/>
        <v>0.67500000000000004</v>
      </c>
      <c r="D114" s="37"/>
      <c r="E114" s="37" cm="1">
        <f t="array" ref="E114">IF(ISNUMBER(SEARCH(".5",B114)),(E113+E115)/2,INDEX(Regen!$A$1:$Z$123,MATCH(ROUND(B114,0),Regen!$A:$A,0),Berechnung_Versickerung!$J$9))</f>
        <v>121.15494185</v>
      </c>
      <c r="F114" s="37">
        <f t="shared" si="8"/>
        <v>3.2081828601879998</v>
      </c>
      <c r="G114" s="37">
        <f t="shared" si="9"/>
        <v>7.7958843502568387</v>
      </c>
      <c r="H114" s="37">
        <f t="shared" si="11"/>
        <v>4.0500000000000007</v>
      </c>
      <c r="I114" s="37">
        <f t="shared" si="10"/>
        <v>3.745884350256838</v>
      </c>
      <c r="O114" s="32"/>
      <c r="T114" s="7"/>
      <c r="W114" s="7"/>
      <c r="Z114" s="31"/>
      <c r="AC114" s="7"/>
      <c r="AL114" s="7"/>
      <c r="AM114" s="7"/>
    </row>
    <row r="115" spans="2:39">
      <c r="B115" s="33">
        <f t="shared" si="12"/>
        <v>41</v>
      </c>
      <c r="C115" s="38">
        <f t="shared" si="7"/>
        <v>0.68333333333333335</v>
      </c>
      <c r="D115" s="37"/>
      <c r="E115" s="37" cm="1">
        <f t="array" ref="E115">IF(ISNUMBER(SEARCH(".5",B115)),(E114+E116)/2,INDEX(Regen!$A$1:$Z$123,MATCH(ROUND(B115,0),Regen!$A:$A,0),Berechnung_Versickerung!$J$9))</f>
        <v>120.1035621</v>
      </c>
      <c r="F115" s="37">
        <f t="shared" si="8"/>
        <v>3.180342324408</v>
      </c>
      <c r="G115" s="37">
        <f t="shared" si="9"/>
        <v>7.8236421180436801</v>
      </c>
      <c r="H115" s="37">
        <f t="shared" si="11"/>
        <v>4.1000000000000005</v>
      </c>
      <c r="I115" s="37">
        <f t="shared" si="10"/>
        <v>3.7236421180436796</v>
      </c>
      <c r="O115" s="32"/>
      <c r="T115" s="7"/>
      <c r="W115" s="7"/>
      <c r="Z115" s="31"/>
      <c r="AC115" s="7"/>
      <c r="AL115" s="7"/>
      <c r="AM115" s="7"/>
    </row>
    <row r="116" spans="2:39">
      <c r="B116" s="33">
        <f t="shared" si="12"/>
        <v>41.5</v>
      </c>
      <c r="C116" s="38">
        <f t="shared" si="7"/>
        <v>0.69166666666666665</v>
      </c>
      <c r="D116" s="37"/>
      <c r="E116" s="37" cm="1">
        <f t="array" ref="E116">IF(ISNUMBER(SEARCH(".5",B116)),(E115+E117)/2,INDEX(Regen!$A$1:$Z$123,MATCH(ROUND(B116,0),Regen!$A:$A,0),Berechnung_Versickerung!$J$9))</f>
        <v>119.09546005</v>
      </c>
      <c r="F116" s="37">
        <f t="shared" si="8"/>
        <v>3.1536477821240001</v>
      </c>
      <c r="G116" s="37">
        <f t="shared" si="9"/>
        <v>7.852582977488761</v>
      </c>
      <c r="H116" s="37">
        <f t="shared" si="11"/>
        <v>4.1500000000000004</v>
      </c>
      <c r="I116" s="37">
        <f t="shared" si="10"/>
        <v>3.7025829774887606</v>
      </c>
      <c r="O116" s="32"/>
      <c r="T116" s="7"/>
      <c r="W116" s="7"/>
      <c r="Z116" s="31"/>
      <c r="AC116" s="7"/>
      <c r="AL116" s="7"/>
      <c r="AM116" s="7"/>
    </row>
    <row r="117" spans="2:39">
      <c r="B117" s="33">
        <f t="shared" si="12"/>
        <v>42</v>
      </c>
      <c r="C117" s="38">
        <f t="shared" si="7"/>
        <v>0.7</v>
      </c>
      <c r="D117" s="37"/>
      <c r="E117" s="37" cm="1">
        <f t="array" ref="E117">IF(ISNUMBER(SEARCH(".5",B117)),(E116+E118)/2,INDEX(Regen!$A$1:$Z$123,MATCH(ROUND(B117,0),Regen!$A:$A,0),Berechnung_Versickerung!$J$9))</f>
        <v>118.08735799999999</v>
      </c>
      <c r="F117" s="37">
        <f t="shared" si="8"/>
        <v>3.1269532398399997</v>
      </c>
      <c r="G117" s="37">
        <f t="shared" si="9"/>
        <v>7.8799221643967998</v>
      </c>
      <c r="H117" s="37">
        <f t="shared" si="11"/>
        <v>4.2</v>
      </c>
      <c r="I117" s="37">
        <f t="shared" si="10"/>
        <v>3.6799221643967996</v>
      </c>
      <c r="O117" s="32"/>
      <c r="T117" s="7"/>
      <c r="W117" s="7"/>
      <c r="Z117" s="31"/>
      <c r="AC117" s="7"/>
      <c r="AL117" s="7"/>
      <c r="AM117" s="7"/>
    </row>
    <row r="118" spans="2:39">
      <c r="B118" s="33">
        <f t="shared" si="12"/>
        <v>42.5</v>
      </c>
      <c r="C118" s="38">
        <f t="shared" si="7"/>
        <v>0.70833333333333337</v>
      </c>
      <c r="D118" s="37"/>
      <c r="E118" s="37" cm="1">
        <f t="array" ref="E118">IF(ISNUMBER(SEARCH(".5",B118)),(E117+E119)/2,INDEX(Regen!$A$1:$Z$123,MATCH(ROUND(B118,0),Regen!$A:$A,0),Berechnung_Versickerung!$J$9))</f>
        <v>117.11977669999999</v>
      </c>
      <c r="F118" s="37">
        <f t="shared" si="8"/>
        <v>3.1013316870159997</v>
      </c>
      <c r="G118" s="37">
        <f t="shared" si="9"/>
        <v>7.9083958018907996</v>
      </c>
      <c r="H118" s="37">
        <f t="shared" si="11"/>
        <v>4.25</v>
      </c>
      <c r="I118" s="37">
        <f t="shared" si="10"/>
        <v>3.6583958018907996</v>
      </c>
      <c r="O118" s="32"/>
      <c r="T118" s="7"/>
      <c r="W118" s="7"/>
      <c r="Z118" s="31"/>
      <c r="AC118" s="7"/>
      <c r="AL118" s="7"/>
      <c r="AM118" s="7"/>
    </row>
    <row r="119" spans="2:39">
      <c r="B119" s="33">
        <f t="shared" si="12"/>
        <v>43</v>
      </c>
      <c r="C119" s="38">
        <f t="shared" si="7"/>
        <v>0.71666666666666667</v>
      </c>
      <c r="D119" s="37"/>
      <c r="E119" s="37" cm="1">
        <f t="array" ref="E119">IF(ISNUMBER(SEARCH(".5",B119)),(E118+E120)/2,INDEX(Regen!$A$1:$Z$123,MATCH(ROUND(B119,0),Regen!$A:$A,0),Berechnung_Versickerung!$J$9))</f>
        <v>116.1521954</v>
      </c>
      <c r="F119" s="37">
        <f t="shared" si="8"/>
        <v>3.0757101341920001</v>
      </c>
      <c r="G119" s="37">
        <f t="shared" si="9"/>
        <v>7.9353321462153596</v>
      </c>
      <c r="H119" s="37">
        <f t="shared" si="11"/>
        <v>4.3000000000000007</v>
      </c>
      <c r="I119" s="37">
        <f t="shared" si="10"/>
        <v>3.6353321462153589</v>
      </c>
      <c r="O119" s="32"/>
      <c r="T119" s="7"/>
      <c r="W119" s="7"/>
      <c r="Z119" s="31"/>
      <c r="AC119" s="7"/>
      <c r="AL119" s="7"/>
      <c r="AM119" s="7"/>
    </row>
    <row r="120" spans="2:39">
      <c r="B120" s="33">
        <f t="shared" si="12"/>
        <v>43.5</v>
      </c>
      <c r="C120" s="38">
        <f t="shared" si="7"/>
        <v>0.72499999999999998</v>
      </c>
      <c r="D120" s="37"/>
      <c r="E120" s="37" cm="1">
        <f t="array" ref="E120">IF(ISNUMBER(SEARCH(".5",B120)),(E119+E121)/2,INDEX(Regen!$A$1:$Z$123,MATCH(ROUND(B120,0),Regen!$A:$A,0),Berechnung_Versickerung!$J$9))</f>
        <v>115.22261245</v>
      </c>
      <c r="F120" s="37">
        <f t="shared" si="8"/>
        <v>3.051094777676</v>
      </c>
      <c r="G120" s="37">
        <f t="shared" si="9"/>
        <v>7.9633573697343598</v>
      </c>
      <c r="H120" s="37">
        <f t="shared" si="11"/>
        <v>4.3499999999999996</v>
      </c>
      <c r="I120" s="37">
        <f t="shared" si="10"/>
        <v>3.6133573697343602</v>
      </c>
      <c r="O120" s="32"/>
      <c r="T120" s="7"/>
      <c r="W120" s="7"/>
      <c r="Z120" s="31"/>
      <c r="AC120" s="7"/>
      <c r="AL120" s="7"/>
      <c r="AM120" s="7"/>
    </row>
    <row r="121" spans="2:39">
      <c r="B121" s="33">
        <f t="shared" si="12"/>
        <v>44</v>
      </c>
      <c r="C121" s="38">
        <f t="shared" si="7"/>
        <v>0.73333333333333328</v>
      </c>
      <c r="D121" s="37"/>
      <c r="E121" s="37" cm="1">
        <f t="array" ref="E121">IF(ISNUMBER(SEARCH(".5",B121)),(E120+E122)/2,INDEX(Regen!$A$1:$Z$123,MATCH(ROUND(B121,0),Regen!$A:$A,0),Berechnung_Versickerung!$J$9))</f>
        <v>114.2930295</v>
      </c>
      <c r="F121" s="37">
        <f t="shared" si="8"/>
        <v>3.0264794211599999</v>
      </c>
      <c r="G121" s="37">
        <f t="shared" si="9"/>
        <v>7.9899056718623997</v>
      </c>
      <c r="H121" s="37">
        <f t="shared" si="11"/>
        <v>4.4000000000000004</v>
      </c>
      <c r="I121" s="37">
        <f t="shared" si="10"/>
        <v>3.5899056718623994</v>
      </c>
      <c r="O121" s="32"/>
      <c r="T121" s="7"/>
      <c r="W121" s="7"/>
      <c r="Z121" s="31"/>
      <c r="AC121" s="7"/>
      <c r="AL121" s="7"/>
      <c r="AM121" s="7"/>
    </row>
    <row r="122" spans="2:39">
      <c r="B122" s="33">
        <f t="shared" si="12"/>
        <v>44.5</v>
      </c>
      <c r="C122" s="38">
        <f t="shared" si="7"/>
        <v>0.7416666666666667</v>
      </c>
      <c r="D122" s="37"/>
      <c r="E122" s="37" cm="1">
        <f t="array" ref="E122">IF(ISNUMBER(SEARCH(".5",B122)),(E121+E123)/2,INDEX(Regen!$A$1:$Z$123,MATCH(ROUND(B122,0),Regen!$A:$A,0),Berechnung_Versickerung!$J$9))</f>
        <v>113.3991327</v>
      </c>
      <c r="F122" s="37">
        <f t="shared" si="8"/>
        <v>3.0028090338959998</v>
      </c>
      <c r="G122" s="37">
        <f t="shared" si="9"/>
        <v>8.0175001205023193</v>
      </c>
      <c r="H122" s="37">
        <f t="shared" si="11"/>
        <v>4.45</v>
      </c>
      <c r="I122" s="37">
        <f t="shared" si="10"/>
        <v>3.5675001205023191</v>
      </c>
      <c r="O122" s="32"/>
      <c r="T122" s="7"/>
      <c r="W122" s="7"/>
      <c r="Z122" s="31"/>
      <c r="AC122" s="7"/>
      <c r="AL122" s="7"/>
      <c r="AM122" s="7"/>
    </row>
    <row r="123" spans="2:39">
      <c r="B123" s="33">
        <f t="shared" si="12"/>
        <v>45</v>
      </c>
      <c r="C123" s="38">
        <f t="shared" si="7"/>
        <v>0.75</v>
      </c>
      <c r="D123" s="37"/>
      <c r="E123" s="37" cm="1">
        <f t="array" ref="E123">IF(ISNUMBER(SEARCH(".5",B123)),(E122+E124)/2,INDEX(Regen!$A$1:$Z$123,MATCH(ROUND(B123,0),Regen!$A:$A,0),Berechnung_Versickerung!$J$9))</f>
        <v>112.5052359</v>
      </c>
      <c r="F123" s="37">
        <f t="shared" si="8"/>
        <v>2.9791386466320002</v>
      </c>
      <c r="G123" s="37">
        <f t="shared" si="9"/>
        <v>8.0436743459063997</v>
      </c>
      <c r="H123" s="37">
        <f t="shared" si="11"/>
        <v>4.5000000000000009</v>
      </c>
      <c r="I123" s="37">
        <f t="shared" si="10"/>
        <v>3.5436743459063988</v>
      </c>
      <c r="O123" s="32"/>
      <c r="T123" s="7"/>
      <c r="W123" s="7"/>
      <c r="Z123" s="31"/>
      <c r="AC123" s="7"/>
      <c r="AL123" s="7"/>
      <c r="AM123" s="7"/>
    </row>
    <row r="124" spans="2:39">
      <c r="B124" s="33">
        <f t="shared" si="12"/>
        <v>45.5</v>
      </c>
      <c r="C124" s="38">
        <f t="shared" si="7"/>
        <v>0.7583333333333333</v>
      </c>
      <c r="D124" s="37"/>
      <c r="E124" s="37" cm="1">
        <f t="array" ref="E124">IF(ISNUMBER(SEARCH(".5",B124)),(E123+E125)/2,INDEX(Regen!$A$1:$Z$123,MATCH(ROUND(B124,0),Regen!$A:$A,0),Berechnung_Versickerung!$J$9))</f>
        <v>111.64490115000001</v>
      </c>
      <c r="F124" s="37">
        <f t="shared" si="8"/>
        <v>2.9563569824520002</v>
      </c>
      <c r="G124" s="37">
        <f t="shared" si="9"/>
        <v>8.0708545620939596</v>
      </c>
      <c r="H124" s="37">
        <f t="shared" si="11"/>
        <v>4.55</v>
      </c>
      <c r="I124" s="37">
        <f t="shared" si="10"/>
        <v>3.5208545620939597</v>
      </c>
      <c r="O124" s="32"/>
      <c r="T124" s="7"/>
      <c r="W124" s="7"/>
      <c r="Z124" s="31"/>
      <c r="AC124" s="7"/>
      <c r="AL124" s="7"/>
      <c r="AM124" s="7"/>
    </row>
    <row r="125" spans="2:39">
      <c r="B125" s="33">
        <f t="shared" si="12"/>
        <v>46</v>
      </c>
      <c r="C125" s="38">
        <f t="shared" si="7"/>
        <v>0.76666666666666672</v>
      </c>
      <c r="D125" s="37"/>
      <c r="E125" s="37" cm="1">
        <f t="array" ref="E125">IF(ISNUMBER(SEARCH(".5",B125)),(E124+E126)/2,INDEX(Regen!$A$1:$Z$123,MATCH(ROUND(B125,0),Regen!$A:$A,0),Berechnung_Versickerung!$J$9))</f>
        <v>110.7845664</v>
      </c>
      <c r="F125" s="37">
        <f t="shared" si="8"/>
        <v>2.9335753182720001</v>
      </c>
      <c r="G125" s="37">
        <f t="shared" si="9"/>
        <v>8.0966678784307202</v>
      </c>
      <c r="H125" s="37">
        <f t="shared" si="11"/>
        <v>4.5999999999999996</v>
      </c>
      <c r="I125" s="37">
        <f t="shared" si="10"/>
        <v>3.4966678784307206</v>
      </c>
      <c r="O125" s="32"/>
      <c r="T125" s="7"/>
      <c r="W125" s="7"/>
      <c r="Z125" s="31"/>
      <c r="AC125" s="7"/>
      <c r="AL125" s="7"/>
      <c r="AM125" s="7"/>
    </row>
    <row r="126" spans="2:39">
      <c r="B126" s="33">
        <f t="shared" si="12"/>
        <v>46.5</v>
      </c>
      <c r="C126" s="38">
        <f t="shared" si="7"/>
        <v>0.77500000000000002</v>
      </c>
      <c r="D126" s="37"/>
      <c r="E126" s="37" cm="1">
        <f t="array" ref="E126">IF(ISNUMBER(SEARCH(".5",B126)),(E125+E127)/2,INDEX(Regen!$A$1:$Z$123,MATCH(ROUND(B126,0),Regen!$A:$A,0),Berechnung_Versickerung!$J$9))</f>
        <v>109.95583895</v>
      </c>
      <c r="F126" s="37">
        <f t="shared" si="8"/>
        <v>2.9116306153960001</v>
      </c>
      <c r="G126" s="37">
        <f t="shared" si="9"/>
        <v>8.1234494169548412</v>
      </c>
      <c r="H126" s="37">
        <f t="shared" si="11"/>
        <v>4.6500000000000004</v>
      </c>
      <c r="I126" s="37">
        <f t="shared" si="10"/>
        <v>3.4734494169548409</v>
      </c>
      <c r="O126" s="32"/>
      <c r="T126" s="7"/>
      <c r="W126" s="7"/>
      <c r="Z126" s="31"/>
      <c r="AC126" s="7"/>
      <c r="AL126" s="7"/>
      <c r="AM126" s="7"/>
    </row>
    <row r="127" spans="2:39">
      <c r="B127" s="33">
        <f t="shared" si="12"/>
        <v>47</v>
      </c>
      <c r="C127" s="38">
        <f t="shared" si="7"/>
        <v>0.78333333333333333</v>
      </c>
      <c r="D127" s="37"/>
      <c r="E127" s="37" cm="1">
        <f t="array" ref="E127">IF(ISNUMBER(SEARCH(".5",B127)),(E126+E128)/2,INDEX(Regen!$A$1:$Z$123,MATCH(ROUND(B127,0),Regen!$A:$A,0),Berechnung_Versickerung!$J$9))</f>
        <v>109.1271115</v>
      </c>
      <c r="F127" s="37">
        <f t="shared" si="8"/>
        <v>2.8896859125200001</v>
      </c>
      <c r="G127" s="37">
        <f t="shared" si="9"/>
        <v>8.1489142733063993</v>
      </c>
      <c r="H127" s="37">
        <f t="shared" si="11"/>
        <v>4.7</v>
      </c>
      <c r="I127" s="37">
        <f t="shared" si="10"/>
        <v>3.4489142733063991</v>
      </c>
      <c r="O127" s="32"/>
      <c r="T127" s="7"/>
      <c r="W127" s="7"/>
      <c r="Z127" s="31"/>
      <c r="AC127" s="7"/>
      <c r="AL127" s="7"/>
      <c r="AM127" s="7"/>
    </row>
    <row r="128" spans="2:39">
      <c r="B128" s="33">
        <f t="shared" si="12"/>
        <v>47.5</v>
      </c>
      <c r="C128" s="38">
        <f t="shared" si="7"/>
        <v>0.79166666666666663</v>
      </c>
      <c r="D128" s="37"/>
      <c r="E128" s="37" cm="1">
        <f t="array" ref="E128">IF(ISNUMBER(SEARCH(".5",B128)),(E127+E129)/2,INDEX(Regen!$A$1:$Z$123,MATCH(ROUND(B128,0),Regen!$A:$A,0),Berechnung_Versickerung!$J$9))</f>
        <v>108.32818904999999</v>
      </c>
      <c r="F128" s="37">
        <f t="shared" si="8"/>
        <v>2.8685304460439998</v>
      </c>
      <c r="G128" s="37">
        <f t="shared" si="9"/>
        <v>8.1753117712253989</v>
      </c>
      <c r="H128" s="37">
        <f t="shared" si="11"/>
        <v>4.75</v>
      </c>
      <c r="I128" s="37">
        <f t="shared" si="10"/>
        <v>3.4253117712253989</v>
      </c>
      <c r="O128" s="32"/>
      <c r="T128" s="7"/>
      <c r="W128" s="7"/>
      <c r="Z128" s="31"/>
      <c r="AC128" s="7"/>
      <c r="AL128" s="7"/>
      <c r="AM128" s="7"/>
    </row>
    <row r="129" spans="2:39">
      <c r="B129" s="33">
        <f t="shared" si="12"/>
        <v>48</v>
      </c>
      <c r="C129" s="38">
        <f t="shared" si="7"/>
        <v>0.8</v>
      </c>
      <c r="D129" s="37"/>
      <c r="E129" s="37" cm="1">
        <f t="array" ref="E129">IF(ISNUMBER(SEARCH(".5",B129)),(E128+E130)/2,INDEX(Regen!$A$1:$Z$123,MATCH(ROUND(B129,0),Regen!$A:$A,0),Berechnung_Versickerung!$J$9))</f>
        <v>107.5292666</v>
      </c>
      <c r="F129" s="37">
        <f t="shared" si="8"/>
        <v>2.8473749795679999</v>
      </c>
      <c r="G129" s="37">
        <f t="shared" si="9"/>
        <v>8.2004399411558389</v>
      </c>
      <c r="H129" s="37">
        <f t="shared" si="11"/>
        <v>4.8</v>
      </c>
      <c r="I129" s="37">
        <f t="shared" si="10"/>
        <v>3.400439941155839</v>
      </c>
      <c r="O129" s="32"/>
      <c r="T129" s="7"/>
      <c r="W129" s="7"/>
      <c r="Z129" s="31"/>
      <c r="AC129" s="7"/>
      <c r="AL129" s="7"/>
      <c r="AM129" s="7"/>
    </row>
    <row r="130" spans="2:39">
      <c r="B130" s="33">
        <f t="shared" si="12"/>
        <v>48.5</v>
      </c>
      <c r="C130" s="38">
        <f t="shared" si="7"/>
        <v>0.80833333333333335</v>
      </c>
      <c r="D130" s="37"/>
      <c r="E130" s="37" cm="1">
        <f t="array" ref="E130">IF(ISNUMBER(SEARCH(".5",B130)),(E129+E131)/2,INDEX(Regen!$A$1:$Z$123,MATCH(ROUND(B130,0),Regen!$A:$A,0),Berechnung_Versickerung!$J$9))</f>
        <v>106.7584846</v>
      </c>
      <c r="F130" s="37">
        <f t="shared" si="8"/>
        <v>2.8269646722080002</v>
      </c>
      <c r="G130" s="37">
        <f t="shared" si="9"/>
        <v>8.2264671961252809</v>
      </c>
      <c r="H130" s="37">
        <f t="shared" si="11"/>
        <v>4.8500000000000005</v>
      </c>
      <c r="I130" s="37">
        <f t="shared" si="10"/>
        <v>3.3764671961252803</v>
      </c>
      <c r="O130" s="32"/>
      <c r="T130" s="7"/>
      <c r="W130" s="7"/>
      <c r="Z130" s="31"/>
      <c r="AC130" s="7"/>
      <c r="AL130" s="7"/>
      <c r="AM130" s="7"/>
    </row>
    <row r="131" spans="2:39">
      <c r="B131" s="33">
        <f t="shared" si="12"/>
        <v>49</v>
      </c>
      <c r="C131" s="38">
        <f t="shared" si="7"/>
        <v>0.81666666666666665</v>
      </c>
      <c r="D131" s="37"/>
      <c r="E131" s="37" cm="1">
        <f t="array" ref="E131">IF(ISNUMBER(SEARCH(".5",B131)),(E130+E132)/2,INDEX(Regen!$A$1:$Z$123,MATCH(ROUND(B131,0),Regen!$A:$A,0),Berechnung_Versickerung!$J$9))</f>
        <v>105.98770260000001</v>
      </c>
      <c r="F131" s="37">
        <f t="shared" si="8"/>
        <v>2.806554364848</v>
      </c>
      <c r="G131" s="37">
        <f t="shared" si="9"/>
        <v>8.2512698326531204</v>
      </c>
      <c r="H131" s="37">
        <f t="shared" si="11"/>
        <v>4.9000000000000004</v>
      </c>
      <c r="I131" s="37">
        <f t="shared" si="10"/>
        <v>3.3512698326531201</v>
      </c>
      <c r="O131" s="32"/>
      <c r="T131" s="7"/>
      <c r="W131" s="7"/>
      <c r="Z131" s="31"/>
      <c r="AC131" s="7"/>
      <c r="AL131" s="7"/>
      <c r="AM131" s="7"/>
    </row>
    <row r="132" spans="2:39">
      <c r="B132" s="33">
        <f t="shared" si="12"/>
        <v>49.5</v>
      </c>
      <c r="C132" s="38">
        <f t="shared" si="7"/>
        <v>0.82499999999999996</v>
      </c>
      <c r="D132" s="37"/>
      <c r="E132" s="37" cm="1">
        <f t="array" ref="E132">IF(ISNUMBER(SEARCH(".5",B132)),(E131+E133)/2,INDEX(Regen!$A$1:$Z$123,MATCH(ROUND(B132,0),Regen!$A:$A,0),Berechnung_Versickerung!$J$9))</f>
        <v>105.24352110000001</v>
      </c>
      <c r="F132" s="37">
        <f t="shared" si="8"/>
        <v>2.7868484387280001</v>
      </c>
      <c r="G132" s="37">
        <f t="shared" si="9"/>
        <v>8.2769398630221609</v>
      </c>
      <c r="H132" s="37">
        <f t="shared" si="11"/>
        <v>4.95</v>
      </c>
      <c r="I132" s="37">
        <f t="shared" si="10"/>
        <v>3.3269398630221607</v>
      </c>
      <c r="O132" s="32"/>
      <c r="T132" s="7"/>
      <c r="W132" s="7"/>
      <c r="Z132" s="31"/>
      <c r="AC132" s="7"/>
      <c r="AL132" s="7"/>
      <c r="AM132" s="7"/>
    </row>
    <row r="133" spans="2:39">
      <c r="B133" s="33">
        <f t="shared" si="12"/>
        <v>50</v>
      </c>
      <c r="C133" s="38">
        <f t="shared" si="7"/>
        <v>0.83333333333333337</v>
      </c>
      <c r="D133" s="37"/>
      <c r="E133" s="37" cm="1">
        <f t="array" ref="E133">IF(ISNUMBER(SEARCH(".5",B133)),(E132+E134)/2,INDEX(Regen!$A$1:$Z$123,MATCH(ROUND(B133,0),Regen!$A:$A,0),Berechnung_Versickerung!$J$9))</f>
        <v>104.4993396</v>
      </c>
      <c r="F133" s="37">
        <f t="shared" si="8"/>
        <v>2.7671425126079998</v>
      </c>
      <c r="G133" s="37">
        <f t="shared" si="9"/>
        <v>8.3014275378240008</v>
      </c>
      <c r="H133" s="37">
        <f t="shared" si="11"/>
        <v>5</v>
      </c>
      <c r="I133" s="37">
        <f t="shared" si="10"/>
        <v>3.3014275378240008</v>
      </c>
      <c r="O133" s="32"/>
      <c r="T133" s="7"/>
      <c r="W133" s="7"/>
      <c r="Z133" s="31"/>
      <c r="AC133" s="7"/>
      <c r="AL133" s="7"/>
      <c r="AM133" s="7"/>
    </row>
    <row r="134" spans="2:39">
      <c r="B134" s="33">
        <f t="shared" si="12"/>
        <v>50.5</v>
      </c>
      <c r="C134" s="38">
        <f t="shared" si="7"/>
        <v>0.84166666666666667</v>
      </c>
      <c r="D134" s="37"/>
      <c r="E134" s="37" cm="1">
        <f t="array" ref="E134">IF(ISNUMBER(SEARCH(".5",B134)),(E133+E135)/2,INDEX(Regen!$A$1:$Z$123,MATCH(ROUND(B134,0),Regen!$A:$A,0),Berechnung_Versickerung!$J$9))</f>
        <v>103.7803317</v>
      </c>
      <c r="F134" s="37">
        <f t="shared" si="8"/>
        <v>2.7481031834160001</v>
      </c>
      <c r="G134" s="37">
        <f t="shared" si="9"/>
        <v>8.3267526457504815</v>
      </c>
      <c r="H134" s="37">
        <f t="shared" si="11"/>
        <v>5.05</v>
      </c>
      <c r="I134" s="37">
        <f t="shared" si="10"/>
        <v>3.2767526457504816</v>
      </c>
      <c r="O134" s="32"/>
      <c r="T134" s="7"/>
      <c r="W134" s="7"/>
      <c r="Z134" s="31"/>
      <c r="AC134" s="7"/>
      <c r="AL134" s="7"/>
      <c r="AM134" s="7"/>
    </row>
    <row r="135" spans="2:39">
      <c r="B135" s="33">
        <f t="shared" si="12"/>
        <v>51</v>
      </c>
      <c r="C135" s="38">
        <f t="shared" si="7"/>
        <v>0.85</v>
      </c>
      <c r="D135" s="37"/>
      <c r="E135" s="37" cm="1">
        <f t="array" ref="E135">IF(ISNUMBER(SEARCH(".5",B135)),(E134+E136)/2,INDEX(Regen!$A$1:$Z$123,MATCH(ROUND(B135,0),Regen!$A:$A,0),Berechnung_Versickerung!$J$9))</f>
        <v>103.0613238</v>
      </c>
      <c r="F135" s="37">
        <f t="shared" si="8"/>
        <v>2.729063854224</v>
      </c>
      <c r="G135" s="37">
        <f t="shared" si="9"/>
        <v>8.3509353939254396</v>
      </c>
      <c r="H135" s="37">
        <f t="shared" si="11"/>
        <v>5.1000000000000005</v>
      </c>
      <c r="I135" s="37">
        <f t="shared" si="10"/>
        <v>3.2509353939254391</v>
      </c>
      <c r="O135" s="32"/>
      <c r="T135" s="7"/>
      <c r="W135" s="7"/>
      <c r="Z135" s="31"/>
      <c r="AC135" s="7"/>
      <c r="AL135" s="7"/>
      <c r="AM135" s="7"/>
    </row>
    <row r="136" spans="2:39">
      <c r="B136" s="33">
        <f t="shared" si="12"/>
        <v>51.5</v>
      </c>
      <c r="C136" s="38">
        <f t="shared" si="7"/>
        <v>0.85833333333333328</v>
      </c>
      <c r="D136" s="37"/>
      <c r="E136" s="37" cm="1">
        <f t="array" ref="E136">IF(ISNUMBER(SEARCH(".5",B136)),(E135+E137)/2,INDEX(Regen!$A$1:$Z$123,MATCH(ROUND(B136,0),Regen!$A:$A,0),Berechnung_Versickerung!$J$9))</f>
        <v>102.36616524999999</v>
      </c>
      <c r="F136" s="37">
        <f t="shared" si="8"/>
        <v>2.7106560558199999</v>
      </c>
      <c r="G136" s="37">
        <f t="shared" si="9"/>
        <v>8.3759272124837985</v>
      </c>
      <c r="H136" s="37">
        <f t="shared" si="11"/>
        <v>5.15</v>
      </c>
      <c r="I136" s="37">
        <f t="shared" si="10"/>
        <v>3.2259272124837981</v>
      </c>
      <c r="O136" s="32"/>
      <c r="T136" s="7"/>
      <c r="W136" s="7"/>
      <c r="Z136" s="31"/>
      <c r="AC136" s="7"/>
      <c r="AL136" s="7"/>
      <c r="AM136" s="7"/>
    </row>
    <row r="137" spans="2:39">
      <c r="B137" s="33">
        <f t="shared" si="12"/>
        <v>52</v>
      </c>
      <c r="C137" s="38">
        <f t="shared" si="7"/>
        <v>0.8666666666666667</v>
      </c>
      <c r="D137" s="37"/>
      <c r="E137" s="37" cm="1">
        <f t="array" ref="E137">IF(ISNUMBER(SEARCH(".5",B137)),(E136+E138)/2,INDEX(Regen!$A$1:$Z$123,MATCH(ROUND(B137,0),Regen!$A:$A,0),Berechnung_Versickerung!$J$9))</f>
        <v>101.67100670000001</v>
      </c>
      <c r="F137" s="37">
        <f t="shared" si="8"/>
        <v>2.6922482574160003</v>
      </c>
      <c r="G137" s="37">
        <f t="shared" si="9"/>
        <v>8.3998145631379213</v>
      </c>
      <c r="H137" s="37">
        <f t="shared" si="11"/>
        <v>5.2</v>
      </c>
      <c r="I137" s="37">
        <f t="shared" si="10"/>
        <v>3.1998145631379211</v>
      </c>
      <c r="O137" s="32"/>
      <c r="T137" s="7"/>
      <c r="W137" s="7"/>
      <c r="Z137" s="31"/>
      <c r="AC137" s="7"/>
      <c r="AL137" s="7"/>
      <c r="AM137" s="7"/>
    </row>
    <row r="138" spans="2:39">
      <c r="B138" s="33">
        <f t="shared" si="12"/>
        <v>52.5</v>
      </c>
      <c r="C138" s="38">
        <f t="shared" si="7"/>
        <v>0.875</v>
      </c>
      <c r="D138" s="37"/>
      <c r="E138" s="37" cm="1">
        <f t="array" ref="E138">IF(ISNUMBER(SEARCH(".5",B138)),(E137+E139)/2,INDEX(Regen!$A$1:$Z$123,MATCH(ROUND(B138,0),Regen!$A:$A,0),Berechnung_Versickerung!$J$9))</f>
        <v>100.9984668</v>
      </c>
      <c r="F138" s="37">
        <f t="shared" si="8"/>
        <v>2.6744394008640002</v>
      </c>
      <c r="G138" s="37">
        <f t="shared" si="9"/>
        <v>8.4244841127216006</v>
      </c>
      <c r="H138" s="37">
        <f t="shared" si="11"/>
        <v>5.25</v>
      </c>
      <c r="I138" s="37">
        <f t="shared" si="10"/>
        <v>3.1744841127216006</v>
      </c>
      <c r="O138" s="32"/>
      <c r="T138" s="7"/>
      <c r="W138" s="7"/>
      <c r="Z138" s="31"/>
      <c r="AC138" s="7"/>
      <c r="AL138" s="7"/>
      <c r="AM138" s="7"/>
    </row>
    <row r="139" spans="2:39">
      <c r="B139" s="33">
        <f t="shared" si="12"/>
        <v>53</v>
      </c>
      <c r="C139" s="38">
        <f t="shared" si="7"/>
        <v>0.8833333333333333</v>
      </c>
      <c r="D139" s="37"/>
      <c r="E139" s="37" cm="1">
        <f t="array" ref="E139">IF(ISNUMBER(SEARCH(".5",B139)),(E138+E140)/2,INDEX(Regen!$A$1:$Z$123,MATCH(ROUND(B139,0),Regen!$A:$A,0),Berechnung_Versickerung!$J$9))</f>
        <v>100.3259269</v>
      </c>
      <c r="F139" s="37">
        <f t="shared" si="8"/>
        <v>2.6566305443120002</v>
      </c>
      <c r="G139" s="37">
        <f t="shared" si="9"/>
        <v>8.4480851309121601</v>
      </c>
      <c r="H139" s="37">
        <f t="shared" si="11"/>
        <v>5.3000000000000007</v>
      </c>
      <c r="I139" s="37">
        <f t="shared" si="10"/>
        <v>3.1480851309121594</v>
      </c>
      <c r="O139" s="32"/>
      <c r="T139" s="7"/>
      <c r="W139" s="7"/>
      <c r="Z139" s="31"/>
      <c r="AC139" s="7"/>
      <c r="AL139" s="7"/>
      <c r="AM139" s="7"/>
    </row>
    <row r="140" spans="2:39">
      <c r="B140" s="33">
        <f t="shared" si="12"/>
        <v>53.5</v>
      </c>
      <c r="C140" s="38">
        <f t="shared" si="7"/>
        <v>0.89166666666666672</v>
      </c>
      <c r="D140" s="37"/>
      <c r="E140" s="37" cm="1">
        <f t="array" ref="E140">IF(ISNUMBER(SEARCH(".5",B140)),(E139+E141)/2,INDEX(Regen!$A$1:$Z$123,MATCH(ROUND(B140,0),Regen!$A:$A,0),Berechnung_Versickerung!$J$9))</f>
        <v>99.67486027999999</v>
      </c>
      <c r="F140" s="37">
        <f t="shared" si="8"/>
        <v>2.6393903002143997</v>
      </c>
      <c r="G140" s="37">
        <f t="shared" si="9"/>
        <v>8.4724428636882223</v>
      </c>
      <c r="H140" s="37">
        <f t="shared" si="11"/>
        <v>5.3500000000000005</v>
      </c>
      <c r="I140" s="37">
        <f t="shared" si="10"/>
        <v>3.1224428636882218</v>
      </c>
      <c r="O140" s="32"/>
      <c r="T140" s="7"/>
      <c r="W140" s="7"/>
      <c r="Z140" s="31"/>
      <c r="AC140" s="7"/>
      <c r="AL140" s="7"/>
      <c r="AM140" s="7"/>
    </row>
    <row r="141" spans="2:39">
      <c r="B141" s="33">
        <f t="shared" si="12"/>
        <v>54</v>
      </c>
      <c r="C141" s="38">
        <f t="shared" si="7"/>
        <v>0.9</v>
      </c>
      <c r="D141" s="37"/>
      <c r="E141" s="37" cm="1">
        <f t="array" ref="E141">IF(ISNUMBER(SEARCH(".5",B141)),(E140+E142)/2,INDEX(Regen!$A$1:$Z$123,MATCH(ROUND(B141,0),Regen!$A:$A,0),Berechnung_Versickerung!$J$9))</f>
        <v>99.023793659999995</v>
      </c>
      <c r="F141" s="37">
        <f t="shared" si="8"/>
        <v>2.6221500561168001</v>
      </c>
      <c r="G141" s="37">
        <f t="shared" si="9"/>
        <v>8.495766181818432</v>
      </c>
      <c r="H141" s="37">
        <f t="shared" si="11"/>
        <v>5.4</v>
      </c>
      <c r="I141" s="37">
        <f t="shared" si="10"/>
        <v>3.0957661818184317</v>
      </c>
      <c r="O141" s="32"/>
      <c r="T141" s="7"/>
      <c r="W141" s="7"/>
      <c r="Z141" s="31"/>
      <c r="AC141" s="7"/>
      <c r="AL141" s="7"/>
      <c r="AM141" s="7"/>
    </row>
    <row r="142" spans="2:39">
      <c r="B142" s="33">
        <f t="shared" si="12"/>
        <v>54.5</v>
      </c>
      <c r="C142" s="38">
        <f t="shared" si="7"/>
        <v>0.90833333333333333</v>
      </c>
      <c r="D142" s="37"/>
      <c r="E142" s="37" cm="1">
        <f t="array" ref="E142">IF(ISNUMBER(SEARCH(".5",B142)),(E141+E143)/2,INDEX(Regen!$A$1:$Z$123,MATCH(ROUND(B142,0),Regen!$A:$A,0),Berechnung_Versickerung!$J$9))</f>
        <v>98.39313276</v>
      </c>
      <c r="F142" s="37">
        <f t="shared" si="8"/>
        <v>2.6054501554848</v>
      </c>
      <c r="G142" s="37">
        <f t="shared" si="9"/>
        <v>8.5198220084352965</v>
      </c>
      <c r="H142" s="37">
        <f t="shared" si="11"/>
        <v>5.45</v>
      </c>
      <c r="I142" s="37">
        <f t="shared" si="10"/>
        <v>3.0698220084352963</v>
      </c>
      <c r="O142" s="32"/>
      <c r="T142" s="7"/>
      <c r="W142" s="7"/>
      <c r="Z142" s="31"/>
      <c r="AC142" s="7"/>
      <c r="AL142" s="7"/>
      <c r="AM142" s="7"/>
    </row>
    <row r="143" spans="2:39">
      <c r="B143" s="33">
        <f t="shared" si="12"/>
        <v>55</v>
      </c>
      <c r="C143" s="38">
        <f t="shared" si="7"/>
        <v>0.91666666666666663</v>
      </c>
      <c r="D143" s="37"/>
      <c r="E143" s="37" cm="1">
        <f t="array" ref="E143">IF(ISNUMBER(SEARCH(".5",B143)),(E142+E144)/2,INDEX(Regen!$A$1:$Z$123,MATCH(ROUND(B143,0),Regen!$A:$A,0),Berechnung_Versickerung!$J$9))</f>
        <v>97.762471860000005</v>
      </c>
      <c r="F143" s="37">
        <f t="shared" si="8"/>
        <v>2.5887502548528003</v>
      </c>
      <c r="G143" s="37">
        <f t="shared" si="9"/>
        <v>8.5428758410142418</v>
      </c>
      <c r="H143" s="37">
        <f t="shared" si="11"/>
        <v>5.5</v>
      </c>
      <c r="I143" s="37">
        <f t="shared" si="10"/>
        <v>3.0428758410142418</v>
      </c>
      <c r="O143" s="32"/>
      <c r="T143" s="7"/>
      <c r="W143" s="7"/>
      <c r="Z143" s="31"/>
      <c r="AC143" s="7"/>
      <c r="AL143" s="7"/>
      <c r="AM143" s="7"/>
    </row>
    <row r="144" spans="2:39">
      <c r="B144" s="33">
        <f t="shared" si="12"/>
        <v>55.5</v>
      </c>
      <c r="C144" s="38">
        <f t="shared" si="7"/>
        <v>0.92500000000000004</v>
      </c>
      <c r="D144" s="37"/>
      <c r="E144" s="37" cm="1">
        <f t="array" ref="E144">IF(ISNUMBER(SEARCH(".5",B144)),(E143+E145)/2,INDEX(Regen!$A$1:$Z$123,MATCH(ROUND(B144,0),Regen!$A:$A,0),Berechnung_Versickerung!$J$9))</f>
        <v>97.151220504999998</v>
      </c>
      <c r="F144" s="37">
        <f t="shared" si="8"/>
        <v>2.5725643189723999</v>
      </c>
      <c r="G144" s="37">
        <f t="shared" si="9"/>
        <v>8.5666391821780934</v>
      </c>
      <c r="H144" s="37">
        <f t="shared" si="11"/>
        <v>5.5500000000000007</v>
      </c>
      <c r="I144" s="37">
        <f t="shared" si="10"/>
        <v>3.0166391821780927</v>
      </c>
      <c r="O144" s="32"/>
      <c r="T144" s="7"/>
      <c r="W144" s="7"/>
      <c r="Z144" s="31"/>
      <c r="AC144" s="7"/>
      <c r="AL144" s="7"/>
      <c r="AM144" s="7"/>
    </row>
    <row r="145" spans="2:50">
      <c r="B145" s="33">
        <f t="shared" si="12"/>
        <v>56</v>
      </c>
      <c r="C145" s="38">
        <f t="shared" si="7"/>
        <v>0.93333333333333335</v>
      </c>
      <c r="D145" s="37"/>
      <c r="E145" s="37" cm="1">
        <f t="array" ref="E145">IF(ISNUMBER(SEARCH(".5",B145)),(E144+E146)/2,INDEX(Regen!$A$1:$Z$123,MATCH(ROUND(B145,0),Regen!$A:$A,0),Berechnung_Versickerung!$J$9))</f>
        <v>96.539969150000005</v>
      </c>
      <c r="F145" s="37">
        <f t="shared" si="8"/>
        <v>2.5563783830919999</v>
      </c>
      <c r="G145" s="37">
        <f t="shared" si="9"/>
        <v>8.5894313671891194</v>
      </c>
      <c r="H145" s="37">
        <f t="shared" si="11"/>
        <v>5.6</v>
      </c>
      <c r="I145" s="37">
        <f t="shared" si="10"/>
        <v>2.9894313671891197</v>
      </c>
      <c r="O145" s="32"/>
      <c r="T145" s="7"/>
      <c r="W145" s="7"/>
      <c r="Z145" s="31"/>
      <c r="AC145" s="7"/>
      <c r="AL145" s="7"/>
      <c r="AM145" s="7"/>
    </row>
    <row r="146" spans="2:50">
      <c r="B146" s="33">
        <f t="shared" si="12"/>
        <v>56.5</v>
      </c>
      <c r="C146" s="38">
        <f t="shared" si="7"/>
        <v>0.94166666666666665</v>
      </c>
      <c r="D146" s="37"/>
      <c r="E146" s="37" cm="1">
        <f t="array" ref="E146">IF(ISNUMBER(SEARCH(".5",B146)),(E145+E147)/2,INDEX(Regen!$A$1:$Z$123,MATCH(ROUND(B146,0),Regen!$A:$A,0),Berechnung_Versickerung!$J$9))</f>
        <v>95.94719652500001</v>
      </c>
      <c r="F146" s="37">
        <f t="shared" si="8"/>
        <v>2.5406817639820001</v>
      </c>
      <c r="G146" s="37">
        <f t="shared" si="9"/>
        <v>8.6129111798989797</v>
      </c>
      <c r="H146" s="37">
        <f t="shared" si="11"/>
        <v>5.65</v>
      </c>
      <c r="I146" s="37">
        <f t="shared" si="10"/>
        <v>2.9629111798989793</v>
      </c>
      <c r="O146" s="32"/>
      <c r="T146" s="7"/>
      <c r="W146" s="7"/>
      <c r="Z146" s="31"/>
      <c r="AC146" s="7"/>
      <c r="AL146" s="7"/>
      <c r="AM146" s="7"/>
    </row>
    <row r="147" spans="2:50">
      <c r="B147" s="33">
        <f t="shared" si="12"/>
        <v>57</v>
      </c>
      <c r="C147" s="38">
        <f t="shared" si="7"/>
        <v>0.95</v>
      </c>
      <c r="D147" s="37"/>
      <c r="E147" s="37" cm="1">
        <f t="array" ref="E147">IF(ISNUMBER(SEARCH(".5",B147)),(E146+E148)/2,INDEX(Regen!$A$1:$Z$123,MATCH(ROUND(B147,0),Regen!$A:$A,0),Berechnung_Versickerung!$J$9))</f>
        <v>95.3544239</v>
      </c>
      <c r="F147" s="37">
        <f t="shared" si="8"/>
        <v>2.5249851448720002</v>
      </c>
      <c r="G147" s="37">
        <f t="shared" si="9"/>
        <v>8.6354491954622414</v>
      </c>
      <c r="H147" s="37">
        <f t="shared" si="11"/>
        <v>5.7</v>
      </c>
      <c r="I147" s="37">
        <f t="shared" si="10"/>
        <v>2.9354491954622413</v>
      </c>
      <c r="O147" s="32"/>
      <c r="T147" s="7"/>
      <c r="W147" s="7"/>
      <c r="Z147" s="31"/>
      <c r="AC147" s="7"/>
      <c r="AL147" s="7"/>
      <c r="AM147" s="7"/>
    </row>
    <row r="148" spans="2:50">
      <c r="B148" s="33">
        <f t="shared" si="12"/>
        <v>57.5</v>
      </c>
      <c r="C148" s="38">
        <f t="shared" si="7"/>
        <v>0.95833333333333337</v>
      </c>
      <c r="D148" s="37"/>
      <c r="E148" s="37" cm="1">
        <f t="array" ref="E148">IF(ISNUMBER(SEARCH(".5",B148)),(E147+E149)/2,INDEX(Regen!$A$1:$Z$123,MATCH(ROUND(B148,0),Regen!$A:$A,0),Berechnung_Versickerung!$J$9))</f>
        <v>94.77925922</v>
      </c>
      <c r="F148" s="37">
        <f t="shared" si="8"/>
        <v>2.5097547841456</v>
      </c>
      <c r="G148" s="37">
        <f t="shared" si="9"/>
        <v>8.6586540053023207</v>
      </c>
      <c r="H148" s="37">
        <f t="shared" si="11"/>
        <v>5.7500000000000009</v>
      </c>
      <c r="I148" s="37">
        <f t="shared" si="10"/>
        <v>2.9086540053023198</v>
      </c>
      <c r="O148" s="32"/>
      <c r="T148" s="7"/>
      <c r="W148" s="7"/>
      <c r="Z148" s="31"/>
      <c r="AC148" s="7"/>
      <c r="AL148" s="7"/>
      <c r="AM148" s="7"/>
    </row>
    <row r="149" spans="2:50">
      <c r="B149" s="33">
        <f t="shared" si="12"/>
        <v>58</v>
      </c>
      <c r="C149" s="38">
        <f t="shared" si="7"/>
        <v>0.96666666666666667</v>
      </c>
      <c r="D149" s="37"/>
      <c r="E149" s="37" cm="1">
        <f t="array" ref="E149">IF(ISNUMBER(SEARCH(".5",B149)),(E148+E150)/2,INDEX(Regen!$A$1:$Z$123,MATCH(ROUND(B149,0),Regen!$A:$A,0),Berechnung_Versickerung!$J$9))</f>
        <v>94.20409454</v>
      </c>
      <c r="F149" s="37">
        <f t="shared" si="8"/>
        <v>2.4945244234191999</v>
      </c>
      <c r="G149" s="37">
        <f t="shared" si="9"/>
        <v>8.6809449934988159</v>
      </c>
      <c r="H149" s="37">
        <f t="shared" si="11"/>
        <v>5.8</v>
      </c>
      <c r="I149" s="37">
        <f t="shared" si="10"/>
        <v>2.8809449934988161</v>
      </c>
      <c r="O149" s="32"/>
      <c r="T149" s="7"/>
      <c r="W149" s="7"/>
      <c r="Z149" s="31"/>
      <c r="AC149" s="7"/>
      <c r="AL149" s="7"/>
      <c r="AM149" s="7"/>
    </row>
    <row r="150" spans="2:50">
      <c r="B150" s="33">
        <f t="shared" si="12"/>
        <v>58.5</v>
      </c>
      <c r="C150" s="38">
        <f t="shared" si="7"/>
        <v>0.97499999999999998</v>
      </c>
      <c r="D150" s="37"/>
      <c r="E150" s="37" cm="1">
        <f t="array" ref="E150">IF(ISNUMBER(SEARCH(".5",B150)),(E149+E151)/2,INDEX(Regen!$A$1:$Z$123,MATCH(ROUND(B150,0),Regen!$A:$A,0),Berechnung_Versickerung!$J$9))</f>
        <v>93.645722210000002</v>
      </c>
      <c r="F150" s="37">
        <f t="shared" si="8"/>
        <v>2.4797387241208</v>
      </c>
      <c r="G150" s="37">
        <f t="shared" si="9"/>
        <v>8.7038829216640075</v>
      </c>
      <c r="H150" s="37">
        <f t="shared" si="11"/>
        <v>5.85</v>
      </c>
      <c r="I150" s="37">
        <f t="shared" si="10"/>
        <v>2.8538829216640078</v>
      </c>
      <c r="O150" s="32"/>
      <c r="T150" s="7"/>
      <c r="W150" s="7"/>
      <c r="Z150" s="31"/>
      <c r="AC150" s="7"/>
      <c r="AL150" s="7"/>
      <c r="AM150" s="7"/>
    </row>
    <row r="151" spans="2:50">
      <c r="B151" s="33">
        <f t="shared" si="12"/>
        <v>59</v>
      </c>
      <c r="C151" s="38">
        <f t="shared" si="7"/>
        <v>0.98333333333333328</v>
      </c>
      <c r="D151" s="37"/>
      <c r="E151" s="37" cm="1">
        <f t="array" ref="E151">IF(ISNUMBER(SEARCH(".5",B151)),(E150+E152)/2,INDEX(Regen!$A$1:$Z$123,MATCH(ROUND(B151,0),Regen!$A:$A,0),Berechnung_Versickerung!$J$9))</f>
        <v>93.087349880000005</v>
      </c>
      <c r="F151" s="37">
        <f t="shared" si="8"/>
        <v>2.4649530248224001</v>
      </c>
      <c r="G151" s="37">
        <f t="shared" si="9"/>
        <v>8.7259337078712953</v>
      </c>
      <c r="H151" s="37">
        <f t="shared" si="11"/>
        <v>5.9</v>
      </c>
      <c r="I151" s="37">
        <f t="shared" si="10"/>
        <v>2.8259337078712949</v>
      </c>
      <c r="O151" s="32"/>
      <c r="T151" s="7"/>
      <c r="W151" s="7"/>
      <c r="Z151" s="31"/>
      <c r="AC151" s="7"/>
      <c r="AL151" s="7"/>
      <c r="AM151" s="7"/>
    </row>
    <row r="152" spans="2:50">
      <c r="B152" s="33">
        <f t="shared" si="12"/>
        <v>59.5</v>
      </c>
      <c r="C152" s="38">
        <f t="shared" si="7"/>
        <v>0.9916666666666667</v>
      </c>
      <c r="D152" s="37"/>
      <c r="E152" s="37" cm="1">
        <f t="array" ref="E152">IF(ISNUMBER(SEARCH(".5",B152)),(E151+E153)/2,INDEX(Regen!$A$1:$Z$123,MATCH(ROUND(B152,0),Regen!$A:$A,0),Berechnung_Versickerung!$J$9))</f>
        <v>92.545005150000009</v>
      </c>
      <c r="F152" s="37">
        <f t="shared" si="8"/>
        <v>2.4505917363720005</v>
      </c>
      <c r="G152" s="37">
        <f t="shared" si="9"/>
        <v>8.7486124988480416</v>
      </c>
      <c r="H152" s="37">
        <f t="shared" si="11"/>
        <v>5.95</v>
      </c>
      <c r="I152" s="37">
        <f t="shared" si="10"/>
        <v>2.7986124988480414</v>
      </c>
      <c r="O152" s="32"/>
      <c r="T152" s="7"/>
      <c r="W152" s="7"/>
      <c r="Z152" s="31"/>
      <c r="AC152" s="7"/>
      <c r="AL152" s="7"/>
      <c r="AM152" s="7"/>
    </row>
    <row r="153" spans="2:50">
      <c r="B153" s="33">
        <f t="shared" si="12"/>
        <v>60</v>
      </c>
      <c r="C153" s="38">
        <f t="shared" si="7"/>
        <v>1</v>
      </c>
      <c r="D153" s="37"/>
      <c r="E153" s="37" cm="1">
        <f t="array" ref="E153">IF(ISNUMBER(SEARCH(".5",B153)),(E152+E154)/2,INDEX(Regen!$A$1:$Z$123,MATCH(ROUND(B153,0),Regen!$A:$A,0),Berechnung_Versickerung!$J$9))</f>
        <v>92.002660419999998</v>
      </c>
      <c r="F153" s="37">
        <f t="shared" si="8"/>
        <v>2.4362304479215999</v>
      </c>
      <c r="G153" s="37">
        <f t="shared" si="9"/>
        <v>8.7704296125177592</v>
      </c>
      <c r="H153" s="37">
        <f t="shared" si="11"/>
        <v>6</v>
      </c>
      <c r="I153" s="37">
        <f t="shared" si="10"/>
        <v>2.7704296125177592</v>
      </c>
      <c r="O153" s="32"/>
      <c r="T153" s="7"/>
      <c r="W153" s="7"/>
      <c r="Z153" s="31"/>
      <c r="AC153" s="7"/>
      <c r="AL153" s="7"/>
      <c r="AM153" s="7"/>
    </row>
    <row r="154" spans="2:50">
      <c r="B154" s="33">
        <f t="shared" si="12"/>
        <v>60.5</v>
      </c>
      <c r="C154" s="38">
        <f t="shared" si="7"/>
        <v>1.0083333333333333</v>
      </c>
      <c r="D154" s="37"/>
      <c r="E154" s="37" cm="1">
        <f t="array" ref="E154">IF(ISNUMBER(SEARCH(".5",B154)),(E153+E155)/2,INDEX(Regen!$A$1:$Z$123,MATCH(ROUND(B154,0),Regen!$A:$A,0),Berechnung_Versickerung!$J$9))</f>
        <v>91.394007459999997</v>
      </c>
      <c r="F154" s="37">
        <f t="shared" si="8"/>
        <v>2.4201133175408001</v>
      </c>
      <c r="G154" s="37">
        <f t="shared" si="9"/>
        <v>8.7850113426731049</v>
      </c>
      <c r="H154" s="37">
        <f t="shared" si="11"/>
        <v>6.05</v>
      </c>
      <c r="I154" s="37">
        <f t="shared" si="10"/>
        <v>2.7350113426731051</v>
      </c>
      <c r="O154" s="32"/>
      <c r="T154" s="7"/>
      <c r="W154" s="7"/>
      <c r="Z154" s="31"/>
      <c r="AC154" s="7"/>
      <c r="AL154" s="7"/>
      <c r="AM154" s="7"/>
    </row>
    <row r="155" spans="2:50">
      <c r="B155" s="33">
        <f t="shared" si="12"/>
        <v>61</v>
      </c>
      <c r="C155" s="38">
        <f t="shared" si="7"/>
        <v>1.0166666666666666</v>
      </c>
      <c r="D155" s="37"/>
      <c r="E155" s="37" cm="1">
        <f t="array" ref="E155">IF(ISNUMBER(SEARCH(".5",B155)),(E154+E156)/2,INDEX(Regen!$A$1:$Z$123,MATCH(ROUND(B155,0),Regen!$A:$A,0),Berechnung_Versickerung!$J$9))</f>
        <v>90.785354499999997</v>
      </c>
      <c r="F155" s="37">
        <f t="shared" si="8"/>
        <v>2.4039961871599997</v>
      </c>
      <c r="G155" s="37">
        <f t="shared" si="9"/>
        <v>8.7986260450055997</v>
      </c>
      <c r="H155" s="37">
        <f t="shared" si="11"/>
        <v>6.1000000000000005</v>
      </c>
      <c r="I155" s="37">
        <f t="shared" si="10"/>
        <v>2.6986260450055992</v>
      </c>
      <c r="O155" s="32"/>
      <c r="T155" s="7"/>
      <c r="W155" s="7"/>
      <c r="Z155" s="31"/>
      <c r="AC155" s="7"/>
      <c r="AL155" s="7"/>
      <c r="AM155" s="7"/>
    </row>
    <row r="156" spans="2:50">
      <c r="B156" s="33">
        <f t="shared" si="12"/>
        <v>61.5</v>
      </c>
      <c r="C156" s="38">
        <f t="shared" si="7"/>
        <v>1.0249999999999999</v>
      </c>
      <c r="D156" s="37"/>
      <c r="E156" s="37" cm="1">
        <f t="array" ref="E156">IF(ISNUMBER(SEARCH(".5",B156)),(E155+E157)/2,INDEX(Regen!$A$1:$Z$123,MATCH(ROUND(B156,0),Regen!$A:$A,0),Berechnung_Versickerung!$J$9))</f>
        <v>90.195036229999999</v>
      </c>
      <c r="F156" s="37">
        <f t="shared" si="8"/>
        <v>2.3883645593703999</v>
      </c>
      <c r="G156" s="37">
        <f t="shared" si="9"/>
        <v>8.8130652240767766</v>
      </c>
      <c r="H156" s="37">
        <f t="shared" si="11"/>
        <v>6.15</v>
      </c>
      <c r="I156" s="37">
        <f t="shared" si="10"/>
        <v>2.6630652240767763</v>
      </c>
      <c r="L156" s="33"/>
      <c r="M156" s="38"/>
      <c r="N156" s="37"/>
      <c r="O156" s="37"/>
      <c r="P156" s="37"/>
      <c r="Q156" s="37"/>
      <c r="R156" s="37"/>
      <c r="S156" s="37"/>
      <c r="T156" s="35"/>
      <c r="U156" s="36"/>
      <c r="V156" s="35"/>
      <c r="AE156" s="7"/>
      <c r="AH156" s="7"/>
      <c r="AN156" s="7"/>
      <c r="AW156" s="7"/>
      <c r="AX156" s="7"/>
    </row>
    <row r="157" spans="2:50">
      <c r="B157" s="33">
        <f t="shared" si="12"/>
        <v>62</v>
      </c>
      <c r="C157" s="38">
        <f t="shared" si="7"/>
        <v>1.0333333333333334</v>
      </c>
      <c r="D157" s="37"/>
      <c r="E157" s="37" cm="1">
        <f t="array" ref="E157">IF(ISNUMBER(SEARCH(".5",B157)),(E156+E158)/2,INDEX(Regen!$A$1:$Z$123,MATCH(ROUND(B157,0),Regen!$A:$A,0),Berechnung_Versickerung!$J$9))</f>
        <v>89.604717960000002</v>
      </c>
      <c r="F157" s="37">
        <f t="shared" si="8"/>
        <v>2.3727329315808001</v>
      </c>
      <c r="G157" s="37">
        <f t="shared" si="9"/>
        <v>8.8265665054805762</v>
      </c>
      <c r="H157" s="37">
        <f t="shared" si="11"/>
        <v>6.2</v>
      </c>
      <c r="I157" s="37">
        <f t="shared" si="10"/>
        <v>2.626566505480576</v>
      </c>
      <c r="L157" s="33"/>
      <c r="M157" s="38"/>
      <c r="N157" s="37"/>
      <c r="O157" s="37"/>
      <c r="P157" s="37"/>
      <c r="Q157" s="37"/>
      <c r="R157" s="37"/>
      <c r="S157" s="37"/>
      <c r="T157" s="35"/>
      <c r="U157" s="36"/>
      <c r="V157" s="35"/>
      <c r="AE157" s="7"/>
      <c r="AH157" s="7"/>
      <c r="AN157" s="7"/>
      <c r="AW157" s="7"/>
      <c r="AX157" s="7"/>
    </row>
    <row r="158" spans="2:50">
      <c r="B158" s="33">
        <f t="shared" si="12"/>
        <v>62.5</v>
      </c>
      <c r="C158" s="38">
        <f t="shared" si="7"/>
        <v>1.0416666666666667</v>
      </c>
      <c r="D158" s="37"/>
      <c r="E158" s="37" cm="1">
        <f t="array" ref="E158">IF(ISNUMBER(SEARCH(".5",B158)),(E157+E159)/2,INDEX(Regen!$A$1:$Z$123,MATCH(ROUND(B158,0),Regen!$A:$A,0),Berechnung_Versickerung!$J$9))</f>
        <v>89.031893034999996</v>
      </c>
      <c r="F158" s="37">
        <f t="shared" si="8"/>
        <v>2.3575645275668</v>
      </c>
      <c r="G158" s="37">
        <f t="shared" si="9"/>
        <v>8.8408669783754998</v>
      </c>
      <c r="H158" s="37">
        <f t="shared" si="11"/>
        <v>6.25</v>
      </c>
      <c r="I158" s="37">
        <f t="shared" si="10"/>
        <v>2.5908669783754998</v>
      </c>
      <c r="L158" s="33"/>
      <c r="M158" s="38"/>
      <c r="N158" s="37"/>
      <c r="O158" s="37"/>
      <c r="P158" s="37"/>
      <c r="Q158" s="37"/>
      <c r="R158" s="37"/>
      <c r="S158" s="37"/>
      <c r="T158" s="35"/>
      <c r="U158" s="36"/>
      <c r="V158" s="35"/>
      <c r="AE158" s="7"/>
      <c r="AH158" s="7"/>
      <c r="AN158" s="7"/>
      <c r="AW158" s="7"/>
      <c r="AX158" s="7"/>
    </row>
    <row r="159" spans="2:50">
      <c r="B159" s="33">
        <f t="shared" si="12"/>
        <v>63</v>
      </c>
      <c r="C159" s="38">
        <f t="shared" si="7"/>
        <v>1.05</v>
      </c>
      <c r="D159" s="37"/>
      <c r="E159" s="37" cm="1">
        <f t="array" ref="E159">IF(ISNUMBER(SEARCH(".5",B159)),(E158+E160)/2,INDEX(Regen!$A$1:$Z$123,MATCH(ROUND(B159,0),Regen!$A:$A,0),Berechnung_Versickerung!$J$9))</f>
        <v>88.459068110000004</v>
      </c>
      <c r="F159" s="37">
        <f t="shared" si="8"/>
        <v>2.3423961235527999</v>
      </c>
      <c r="G159" s="37">
        <f t="shared" si="9"/>
        <v>8.8542573470295824</v>
      </c>
      <c r="H159" s="37">
        <f t="shared" si="11"/>
        <v>6.3</v>
      </c>
      <c r="I159" s="37">
        <f t="shared" si="10"/>
        <v>2.5542573470295826</v>
      </c>
      <c r="L159" s="33"/>
      <c r="M159" s="38"/>
      <c r="N159" s="37"/>
      <c r="O159" s="37"/>
      <c r="P159" s="37"/>
      <c r="Q159" s="37"/>
      <c r="R159" s="37"/>
      <c r="S159" s="37"/>
      <c r="T159" s="35"/>
      <c r="U159" s="36"/>
      <c r="V159" s="35"/>
      <c r="AE159" s="7"/>
      <c r="AH159" s="7"/>
      <c r="AN159" s="7"/>
      <c r="AW159" s="7"/>
      <c r="AX159" s="7"/>
    </row>
    <row r="160" spans="2:50">
      <c r="B160" s="33">
        <f t="shared" si="12"/>
        <v>63.5</v>
      </c>
      <c r="C160" s="38">
        <f t="shared" si="7"/>
        <v>1.0583333333333333</v>
      </c>
      <c r="D160" s="37"/>
      <c r="E160" s="37" cm="1">
        <f t="array" ref="E160">IF(ISNUMBER(SEARCH(".5",B160)),(E159+E161)/2,INDEX(Regen!$A$1:$Z$123,MATCH(ROUND(B160,0),Regen!$A:$A,0),Berechnung_Versickerung!$J$9))</f>
        <v>87.90294652</v>
      </c>
      <c r="F160" s="37">
        <f t="shared" si="8"/>
        <v>2.3276700238496</v>
      </c>
      <c r="G160" s="37">
        <f t="shared" si="9"/>
        <v>8.8684227908669762</v>
      </c>
      <c r="H160" s="37">
        <f t="shared" si="11"/>
        <v>6.3500000000000005</v>
      </c>
      <c r="I160" s="37">
        <f t="shared" si="10"/>
        <v>2.5184227908669756</v>
      </c>
      <c r="L160" s="33"/>
      <c r="M160" s="38"/>
      <c r="N160" s="37"/>
      <c r="O160" s="37"/>
      <c r="P160" s="37"/>
      <c r="Q160" s="37"/>
      <c r="R160" s="37"/>
      <c r="S160" s="37"/>
      <c r="T160" s="35"/>
      <c r="U160" s="36"/>
      <c r="V160" s="35"/>
      <c r="AE160" s="7"/>
      <c r="AH160" s="7"/>
      <c r="AN160" s="7"/>
      <c r="AW160" s="7"/>
      <c r="AX160" s="7"/>
    </row>
    <row r="161" spans="2:50">
      <c r="B161" s="33">
        <f t="shared" si="12"/>
        <v>64</v>
      </c>
      <c r="C161" s="38">
        <f t="shared" ref="C161:C224" si="13">B161/60</f>
        <v>1.0666666666666667</v>
      </c>
      <c r="D161" s="37"/>
      <c r="E161" s="37" cm="1">
        <f t="array" ref="E161">IF(ISNUMBER(SEARCH(".5",B161)),(E160+E162)/2,INDEX(Regen!$A$1:$Z$123,MATCH(ROUND(B161,0),Regen!$A:$A,0),Berechnung_Versickerung!$J$9))</f>
        <v>87.346824929999997</v>
      </c>
      <c r="F161" s="37">
        <f t="shared" ref="F161:F224" si="14">E161*$B$12</f>
        <v>2.3129439241464</v>
      </c>
      <c r="G161" s="37">
        <f t="shared" ref="G161:G224" si="15">F161*60*B161/1000</f>
        <v>8.8817046687221755</v>
      </c>
      <c r="H161" s="37">
        <f t="shared" si="11"/>
        <v>6.4</v>
      </c>
      <c r="I161" s="37">
        <f t="shared" ref="I161:I224" si="16">G161-H161</f>
        <v>2.4817046687221751</v>
      </c>
      <c r="L161" s="33"/>
      <c r="M161" s="38"/>
      <c r="N161" s="37"/>
      <c r="O161" s="37"/>
      <c r="P161" s="37"/>
      <c r="Q161" s="37"/>
      <c r="R161" s="37"/>
      <c r="S161" s="37"/>
      <c r="T161" s="35"/>
      <c r="U161" s="36"/>
      <c r="V161" s="35"/>
      <c r="AE161" s="7"/>
      <c r="AH161" s="7"/>
      <c r="AN161" s="7"/>
      <c r="AW161" s="7"/>
      <c r="AX161" s="7"/>
    </row>
    <row r="162" spans="2:50">
      <c r="B162" s="33">
        <f t="shared" si="12"/>
        <v>64.5</v>
      </c>
      <c r="C162" s="38">
        <f t="shared" si="13"/>
        <v>1.075</v>
      </c>
      <c r="D162" s="37"/>
      <c r="E162" s="37" cm="1">
        <f t="array" ref="E162">IF(ISNUMBER(SEARCH(".5",B162)),(E161+E163)/2,INDEX(Regen!$A$1:$Z$123,MATCH(ROUND(B162,0),Regen!$A:$A,0),Berechnung_Versickerung!$J$9))</f>
        <v>86.806664119999994</v>
      </c>
      <c r="F162" s="37">
        <f t="shared" si="14"/>
        <v>2.2986404658975998</v>
      </c>
      <c r="G162" s="37">
        <f t="shared" si="15"/>
        <v>8.8957386030237124</v>
      </c>
      <c r="H162" s="37">
        <f t="shared" ref="H162:H225" si="17">B162*60/1000*$B$19</f>
        <v>6.45</v>
      </c>
      <c r="I162" s="37">
        <f t="shared" si="16"/>
        <v>2.4457386030237123</v>
      </c>
      <c r="L162" s="33"/>
      <c r="M162" s="38"/>
      <c r="N162" s="37"/>
      <c r="O162" s="37"/>
      <c r="P162" s="37"/>
      <c r="Q162" s="37"/>
      <c r="R162" s="37"/>
      <c r="S162" s="37"/>
      <c r="T162" s="35"/>
      <c r="U162" s="36"/>
      <c r="V162" s="35"/>
      <c r="AE162" s="7"/>
      <c r="AH162" s="7"/>
      <c r="AN162" s="7"/>
      <c r="AW162" s="7"/>
      <c r="AX162" s="7"/>
    </row>
    <row r="163" spans="2:50">
      <c r="B163" s="33">
        <f t="shared" si="12"/>
        <v>65</v>
      </c>
      <c r="C163" s="38">
        <f t="shared" si="13"/>
        <v>1.0833333333333333</v>
      </c>
      <c r="D163" s="37"/>
      <c r="E163" s="37" cm="1">
        <f t="array" ref="E163">IF(ISNUMBER(SEARCH(".5",B163)),(E162+E164)/2,INDEX(Regen!$A$1:$Z$123,MATCH(ROUND(B163,0),Regen!$A:$A,0),Berechnung_Versickerung!$J$9))</f>
        <v>86.266503310000004</v>
      </c>
      <c r="F163" s="37">
        <f t="shared" si="14"/>
        <v>2.2843370076488001</v>
      </c>
      <c r="G163" s="37">
        <f t="shared" si="15"/>
        <v>8.9089143298303206</v>
      </c>
      <c r="H163" s="37">
        <f t="shared" si="17"/>
        <v>6.5</v>
      </c>
      <c r="I163" s="37">
        <f t="shared" si="16"/>
        <v>2.4089143298303206</v>
      </c>
      <c r="L163" s="33"/>
      <c r="M163" s="38"/>
      <c r="N163" s="37"/>
      <c r="O163" s="37"/>
      <c r="P163" s="37"/>
      <c r="Q163" s="37"/>
      <c r="R163" s="37"/>
      <c r="S163" s="37"/>
      <c r="T163" s="35"/>
      <c r="U163" s="36"/>
      <c r="V163" s="35"/>
      <c r="AE163" s="7"/>
      <c r="AH163" s="7"/>
      <c r="AN163" s="7"/>
      <c r="AW163" s="7"/>
      <c r="AX163" s="7"/>
    </row>
    <row r="164" spans="2:50">
      <c r="B164" s="33">
        <f t="shared" ref="B164:B227" si="18">+B163+0.5</f>
        <v>65.5</v>
      </c>
      <c r="C164" s="38">
        <f t="shared" si="13"/>
        <v>1.0916666666666666</v>
      </c>
      <c r="D164" s="37"/>
      <c r="E164" s="37" cm="1">
        <f t="array" ref="E164">IF(ISNUMBER(SEARCH(".5",B164)),(E163+E165)/2,INDEX(Regen!$A$1:$Z$123,MATCH(ROUND(B164,0),Regen!$A:$A,0),Berechnung_Versickerung!$J$9))</f>
        <v>85.741604635000002</v>
      </c>
      <c r="F164" s="37">
        <f t="shared" si="14"/>
        <v>2.2704376907347998</v>
      </c>
      <c r="G164" s="37">
        <f t="shared" si="15"/>
        <v>8.9228201245877621</v>
      </c>
      <c r="H164" s="37">
        <f t="shared" si="17"/>
        <v>6.5500000000000007</v>
      </c>
      <c r="I164" s="37">
        <f t="shared" si="16"/>
        <v>2.3728201245877614</v>
      </c>
      <c r="L164" s="33"/>
      <c r="M164" s="38"/>
      <c r="N164" s="37"/>
      <c r="O164" s="37"/>
      <c r="P164" s="37"/>
      <c r="Q164" s="37"/>
      <c r="R164" s="37"/>
      <c r="S164" s="37"/>
      <c r="T164" s="35"/>
      <c r="U164" s="36"/>
      <c r="V164" s="35"/>
      <c r="AE164" s="7"/>
      <c r="AH164" s="7"/>
      <c r="AN164" s="7"/>
      <c r="AW164" s="7"/>
      <c r="AX164" s="7"/>
    </row>
    <row r="165" spans="2:50">
      <c r="B165" s="33">
        <f t="shared" si="18"/>
        <v>66</v>
      </c>
      <c r="C165" s="38">
        <f t="shared" si="13"/>
        <v>1.1000000000000001</v>
      </c>
      <c r="D165" s="37"/>
      <c r="E165" s="37" cm="1">
        <f t="array" ref="E165">IF(ISNUMBER(SEARCH(".5",B165)),(E164+E166)/2,INDEX(Regen!$A$1:$Z$123,MATCH(ROUND(B165,0),Regen!$A:$A,0),Berechnung_Versickerung!$J$9))</f>
        <v>85.216705959999999</v>
      </c>
      <c r="F165" s="37">
        <f t="shared" si="14"/>
        <v>2.2565383738208</v>
      </c>
      <c r="G165" s="37">
        <f t="shared" si="15"/>
        <v>8.9358919603303679</v>
      </c>
      <c r="H165" s="37">
        <f t="shared" si="17"/>
        <v>6.6000000000000005</v>
      </c>
      <c r="I165" s="37">
        <f t="shared" si="16"/>
        <v>2.3358919603303674</v>
      </c>
      <c r="L165" s="33"/>
      <c r="M165" s="38"/>
      <c r="N165" s="37"/>
      <c r="O165" s="37"/>
      <c r="P165" s="37"/>
      <c r="Q165" s="37"/>
      <c r="R165" s="37"/>
      <c r="S165" s="37"/>
      <c r="T165" s="35"/>
      <c r="U165" s="36"/>
      <c r="V165" s="35"/>
      <c r="AE165" s="7"/>
      <c r="AH165" s="7"/>
      <c r="AN165" s="7"/>
      <c r="AW165" s="7"/>
      <c r="AX165" s="7"/>
    </row>
    <row r="166" spans="2:50">
      <c r="B166" s="33">
        <f t="shared" si="18"/>
        <v>66.5</v>
      </c>
      <c r="C166" s="38">
        <f t="shared" si="13"/>
        <v>1.1083333333333334</v>
      </c>
      <c r="D166" s="37"/>
      <c r="E166" s="37" cm="1">
        <f t="array" ref="E166">IF(ISNUMBER(SEARCH(".5",B166)),(E165+E167)/2,INDEX(Regen!$A$1:$Z$123,MATCH(ROUND(B166,0),Regen!$A:$A,0),Berechnung_Versickerung!$J$9))</f>
        <v>84.706411470000006</v>
      </c>
      <c r="F166" s="37">
        <f t="shared" si="14"/>
        <v>2.2430257757256</v>
      </c>
      <c r="G166" s="37">
        <f t="shared" si="15"/>
        <v>8.9496728451451428</v>
      </c>
      <c r="H166" s="37">
        <f t="shared" si="17"/>
        <v>6.65</v>
      </c>
      <c r="I166" s="37">
        <f t="shared" si="16"/>
        <v>2.2996728451451425</v>
      </c>
      <c r="L166" s="33"/>
      <c r="M166" s="38"/>
      <c r="N166" s="37"/>
      <c r="O166" s="37"/>
      <c r="P166" s="37"/>
      <c r="Q166" s="37"/>
      <c r="R166" s="37"/>
      <c r="S166" s="37"/>
      <c r="T166" s="35"/>
      <c r="U166" s="36"/>
      <c r="V166" s="35"/>
      <c r="AE166" s="7"/>
      <c r="AH166" s="7"/>
      <c r="AN166" s="7"/>
      <c r="AW166" s="7"/>
      <c r="AX166" s="7"/>
    </row>
    <row r="167" spans="2:50">
      <c r="B167" s="33">
        <f t="shared" si="18"/>
        <v>67</v>
      </c>
      <c r="C167" s="38">
        <f t="shared" si="13"/>
        <v>1.1166666666666667</v>
      </c>
      <c r="D167" s="37"/>
      <c r="E167" s="37" cm="1">
        <f t="array" ref="E167">IF(ISNUMBER(SEARCH(".5",B167)),(E166+E168)/2,INDEX(Regen!$A$1:$Z$123,MATCH(ROUND(B167,0),Regen!$A:$A,0),Berechnung_Versickerung!$J$9))</f>
        <v>84.196116979999999</v>
      </c>
      <c r="F167" s="37">
        <f t="shared" si="14"/>
        <v>2.2295131776304</v>
      </c>
      <c r="G167" s="37">
        <f t="shared" si="15"/>
        <v>8.9626429740742086</v>
      </c>
      <c r="H167" s="37">
        <f t="shared" si="17"/>
        <v>6.6999999999999993</v>
      </c>
      <c r="I167" s="37">
        <f t="shared" si="16"/>
        <v>2.2626429740742093</v>
      </c>
      <c r="L167" s="33"/>
      <c r="M167" s="38"/>
      <c r="N167" s="37"/>
      <c r="O167" s="37"/>
      <c r="P167" s="37"/>
      <c r="Q167" s="37"/>
      <c r="R167" s="37"/>
      <c r="S167" s="37"/>
      <c r="T167" s="35"/>
      <c r="U167" s="36"/>
      <c r="V167" s="35"/>
      <c r="AE167" s="7"/>
      <c r="AH167" s="7"/>
      <c r="AN167" s="7"/>
      <c r="AW167" s="7"/>
      <c r="AX167" s="7"/>
    </row>
    <row r="168" spans="2:50">
      <c r="B168" s="33">
        <f t="shared" si="18"/>
        <v>67.5</v>
      </c>
      <c r="C168" s="38">
        <f t="shared" si="13"/>
        <v>1.125</v>
      </c>
      <c r="D168" s="37"/>
      <c r="E168" s="37" cm="1">
        <f t="array" ref="E168">IF(ISNUMBER(SEARCH(".5",B168)),(E167+E169)/2,INDEX(Regen!$A$1:$Z$123,MATCH(ROUND(B168,0),Regen!$A:$A,0),Berechnung_Versickerung!$J$9))</f>
        <v>83.69980649</v>
      </c>
      <c r="F168" s="37">
        <f t="shared" si="14"/>
        <v>2.2163708758551999</v>
      </c>
      <c r="G168" s="37">
        <f t="shared" si="15"/>
        <v>8.9763020472135597</v>
      </c>
      <c r="H168" s="37">
        <f t="shared" si="17"/>
        <v>6.75</v>
      </c>
      <c r="I168" s="37">
        <f t="shared" si="16"/>
        <v>2.2263020472135597</v>
      </c>
      <c r="L168" s="33"/>
      <c r="M168" s="38"/>
      <c r="N168" s="37"/>
      <c r="O168" s="37"/>
      <c r="P168" s="37"/>
      <c r="Q168" s="37"/>
      <c r="R168" s="37"/>
      <c r="S168" s="37"/>
      <c r="T168" s="35"/>
      <c r="U168" s="36"/>
      <c r="V168" s="35"/>
      <c r="AE168" s="7"/>
      <c r="AH168" s="7"/>
      <c r="AN168" s="7"/>
      <c r="AW168" s="7"/>
      <c r="AX168" s="7"/>
    </row>
    <row r="169" spans="2:50">
      <c r="B169" s="33">
        <f t="shared" si="18"/>
        <v>68</v>
      </c>
      <c r="C169" s="38">
        <f t="shared" si="13"/>
        <v>1.1333333333333333</v>
      </c>
      <c r="D169" s="37"/>
      <c r="E169" s="37" cm="1">
        <f t="array" ref="E169">IF(ISNUMBER(SEARCH(".5",B169)),(E168+E170)/2,INDEX(Regen!$A$1:$Z$123,MATCH(ROUND(B169,0),Regen!$A:$A,0),Berechnung_Versickerung!$J$9))</f>
        <v>83.203496000000001</v>
      </c>
      <c r="F169" s="37">
        <f t="shared" si="14"/>
        <v>2.2032285740800002</v>
      </c>
      <c r="G169" s="37">
        <f t="shared" si="15"/>
        <v>8.9891725822464021</v>
      </c>
      <c r="H169" s="37">
        <f t="shared" si="17"/>
        <v>6.8000000000000007</v>
      </c>
      <c r="I169" s="37">
        <f t="shared" si="16"/>
        <v>2.1891725822464014</v>
      </c>
      <c r="L169" s="33"/>
      <c r="M169" s="38"/>
      <c r="N169" s="37"/>
      <c r="O169" s="37"/>
      <c r="P169" s="37"/>
      <c r="Q169" s="37"/>
      <c r="R169" s="37"/>
      <c r="S169" s="37"/>
      <c r="T169" s="35"/>
      <c r="U169" s="36"/>
      <c r="V169" s="35"/>
      <c r="AE169" s="7"/>
      <c r="AH169" s="7"/>
      <c r="AN169" s="7"/>
      <c r="AW169" s="7"/>
      <c r="AX169" s="7"/>
    </row>
    <row r="170" spans="2:50">
      <c r="B170" s="33">
        <f t="shared" si="18"/>
        <v>68.5</v>
      </c>
      <c r="C170" s="38">
        <f t="shared" si="13"/>
        <v>1.1416666666666666</v>
      </c>
      <c r="D170" s="37"/>
      <c r="E170" s="37" cm="1">
        <f t="array" ref="E170">IF(ISNUMBER(SEARCH(".5",B170)),(E169+E171)/2,INDEX(Regen!$A$1:$Z$123,MATCH(ROUND(B170,0),Regen!$A:$A,0),Berechnung_Versickerung!$J$9))</f>
        <v>82.720584379999991</v>
      </c>
      <c r="F170" s="37">
        <f t="shared" si="14"/>
        <v>2.1904410743823997</v>
      </c>
      <c r="G170" s="37">
        <f t="shared" si="15"/>
        <v>9.0027128157116625</v>
      </c>
      <c r="H170" s="37">
        <f t="shared" si="17"/>
        <v>6.8500000000000005</v>
      </c>
      <c r="I170" s="37">
        <f t="shared" si="16"/>
        <v>2.152712815711662</v>
      </c>
      <c r="L170" s="33"/>
      <c r="M170" s="38"/>
      <c r="N170" s="37"/>
      <c r="O170" s="37"/>
      <c r="P170" s="37"/>
      <c r="Q170" s="37"/>
      <c r="R170" s="37"/>
      <c r="S170" s="37"/>
      <c r="T170" s="35"/>
      <c r="U170" s="36"/>
      <c r="V170" s="35"/>
      <c r="AE170" s="7"/>
      <c r="AH170" s="7"/>
      <c r="AN170" s="7"/>
      <c r="AW170" s="7"/>
      <c r="AX170" s="7"/>
    </row>
    <row r="171" spans="2:50">
      <c r="B171" s="33">
        <f t="shared" si="18"/>
        <v>69</v>
      </c>
      <c r="C171" s="38">
        <f t="shared" si="13"/>
        <v>1.1499999999999999</v>
      </c>
      <c r="D171" s="37"/>
      <c r="E171" s="37" cm="1">
        <f t="array" ref="E171">IF(ISNUMBER(SEARCH(".5",B171)),(E170+E172)/2,INDEX(Regen!$A$1:$Z$123,MATCH(ROUND(B171,0),Regen!$A:$A,0),Berechnung_Versickerung!$J$9))</f>
        <v>82.237672759999995</v>
      </c>
      <c r="F171" s="37">
        <f t="shared" si="14"/>
        <v>2.1776535746848</v>
      </c>
      <c r="G171" s="37">
        <f t="shared" si="15"/>
        <v>9.0154857991950728</v>
      </c>
      <c r="H171" s="37">
        <f t="shared" si="17"/>
        <v>6.8999999999999995</v>
      </c>
      <c r="I171" s="37">
        <f t="shared" si="16"/>
        <v>2.1154857991950733</v>
      </c>
      <c r="L171" s="33"/>
      <c r="M171" s="38"/>
      <c r="N171" s="37"/>
      <c r="O171" s="37"/>
      <c r="P171" s="37"/>
      <c r="Q171" s="37"/>
      <c r="R171" s="37"/>
      <c r="S171" s="37"/>
      <c r="T171" s="35"/>
      <c r="U171" s="36"/>
      <c r="V171" s="35"/>
      <c r="AE171" s="7"/>
      <c r="AH171" s="7"/>
      <c r="AN171" s="7"/>
      <c r="AW171" s="7"/>
      <c r="AX171" s="7"/>
    </row>
    <row r="172" spans="2:50">
      <c r="B172" s="33">
        <f t="shared" si="18"/>
        <v>69.5</v>
      </c>
      <c r="C172" s="38">
        <f t="shared" si="13"/>
        <v>1.1583333333333334</v>
      </c>
      <c r="D172" s="37"/>
      <c r="E172" s="37" cm="1">
        <f t="array" ref="E172">IF(ISNUMBER(SEARCH(".5",B172)),(E171+E173)/2,INDEX(Regen!$A$1:$Z$123,MATCH(ROUND(B172,0),Regen!$A:$A,0),Berechnung_Versickerung!$J$9))</f>
        <v>81.767607499999997</v>
      </c>
      <c r="F172" s="37">
        <f t="shared" si="14"/>
        <v>2.1652062465999999</v>
      </c>
      <c r="G172" s="37">
        <f t="shared" si="15"/>
        <v>9.0289100483219986</v>
      </c>
      <c r="H172" s="37">
        <f t="shared" si="17"/>
        <v>6.95</v>
      </c>
      <c r="I172" s="37">
        <f t="shared" si="16"/>
        <v>2.0789100483219984</v>
      </c>
      <c r="L172" s="33"/>
      <c r="M172" s="38"/>
      <c r="N172" s="37"/>
      <c r="O172" s="37"/>
      <c r="P172" s="37"/>
      <c r="Q172" s="37"/>
      <c r="R172" s="37"/>
      <c r="S172" s="37"/>
      <c r="T172" s="35"/>
      <c r="U172" s="36"/>
      <c r="V172" s="35"/>
      <c r="AE172" s="7"/>
      <c r="AH172" s="7"/>
      <c r="AN172" s="7"/>
      <c r="AW172" s="7"/>
      <c r="AX172" s="7"/>
    </row>
    <row r="173" spans="2:50">
      <c r="B173" s="33">
        <f t="shared" si="18"/>
        <v>70</v>
      </c>
      <c r="C173" s="38">
        <f t="shared" si="13"/>
        <v>1.1666666666666667</v>
      </c>
      <c r="D173" s="37"/>
      <c r="E173" s="37" cm="1">
        <f t="array" ref="E173">IF(ISNUMBER(SEARCH(".5",B173)),(E172+E174)/2,INDEX(Regen!$A$1:$Z$123,MATCH(ROUND(B173,0),Regen!$A:$A,0),Berechnung_Versickerung!$J$9))</f>
        <v>81.297542239999999</v>
      </c>
      <c r="F173" s="37">
        <f t="shared" si="14"/>
        <v>2.1527589185151998</v>
      </c>
      <c r="G173" s="37">
        <f t="shared" si="15"/>
        <v>9.0415874577638409</v>
      </c>
      <c r="H173" s="37">
        <f t="shared" si="17"/>
        <v>7.0000000000000009</v>
      </c>
      <c r="I173" s="37">
        <f t="shared" si="16"/>
        <v>2.04158745776384</v>
      </c>
      <c r="L173" s="33"/>
      <c r="M173" s="38"/>
      <c r="N173" s="37"/>
      <c r="O173" s="37"/>
      <c r="P173" s="37"/>
      <c r="Q173" s="37"/>
      <c r="R173" s="37"/>
      <c r="S173" s="37"/>
      <c r="T173" s="35"/>
      <c r="U173" s="36"/>
      <c r="V173" s="35"/>
      <c r="AE173" s="7"/>
      <c r="AH173" s="7"/>
      <c r="AN173" s="7"/>
      <c r="AW173" s="7"/>
      <c r="AX173" s="7"/>
    </row>
    <row r="174" spans="2:50">
      <c r="B174" s="33">
        <f t="shared" si="18"/>
        <v>70.5</v>
      </c>
      <c r="C174" s="38">
        <f t="shared" si="13"/>
        <v>1.175</v>
      </c>
      <c r="D174" s="37"/>
      <c r="E174" s="37" cm="1">
        <f t="array" ref="E174">IF(ISNUMBER(SEARCH(".5",B174)),(E173+E175)/2,INDEX(Regen!$A$1:$Z$123,MATCH(ROUND(B174,0),Regen!$A:$A,0),Berechnung_Versickerung!$J$9))</f>
        <v>80.839801184999999</v>
      </c>
      <c r="F174" s="37">
        <f t="shared" si="14"/>
        <v>2.1406379353788001</v>
      </c>
      <c r="G174" s="37">
        <f t="shared" si="15"/>
        <v>9.0548984666523253</v>
      </c>
      <c r="H174" s="37">
        <f t="shared" si="17"/>
        <v>7.0500000000000007</v>
      </c>
      <c r="I174" s="37">
        <f t="shared" si="16"/>
        <v>2.0048984666523246</v>
      </c>
      <c r="L174" s="33"/>
      <c r="M174" s="38"/>
      <c r="N174" s="37"/>
      <c r="O174" s="37"/>
      <c r="P174" s="37"/>
      <c r="Q174" s="37"/>
      <c r="R174" s="37"/>
      <c r="S174" s="37"/>
      <c r="T174" s="35"/>
      <c r="U174" s="36"/>
      <c r="V174" s="35"/>
      <c r="AE174" s="7"/>
      <c r="AH174" s="7"/>
      <c r="AN174" s="7"/>
      <c r="AW174" s="7"/>
      <c r="AX174" s="7"/>
    </row>
    <row r="175" spans="2:50">
      <c r="B175" s="33">
        <f t="shared" si="18"/>
        <v>71</v>
      </c>
      <c r="C175" s="38">
        <f t="shared" si="13"/>
        <v>1.1833333333333333</v>
      </c>
      <c r="D175" s="37"/>
      <c r="E175" s="37" cm="1">
        <f t="array" ref="E175">IF(ISNUMBER(SEARCH(".5",B175)),(E174+E176)/2,INDEX(Regen!$A$1:$Z$123,MATCH(ROUND(B175,0),Regen!$A:$A,0),Berechnung_Versickerung!$J$9))</f>
        <v>80.382060129999999</v>
      </c>
      <c r="F175" s="37">
        <f t="shared" si="14"/>
        <v>2.1285169522423999</v>
      </c>
      <c r="G175" s="37">
        <f t="shared" si="15"/>
        <v>9.067482216552623</v>
      </c>
      <c r="H175" s="37">
        <f t="shared" si="17"/>
        <v>7.1</v>
      </c>
      <c r="I175" s="37">
        <f t="shared" si="16"/>
        <v>1.9674822165526233</v>
      </c>
      <c r="L175" s="33"/>
      <c r="M175" s="38"/>
      <c r="N175" s="37"/>
      <c r="O175" s="37"/>
      <c r="P175" s="37"/>
      <c r="Q175" s="37"/>
      <c r="R175" s="37"/>
      <c r="S175" s="37"/>
      <c r="T175" s="35"/>
      <c r="U175" s="36"/>
      <c r="V175" s="35"/>
      <c r="AE175" s="7"/>
      <c r="AH175" s="7"/>
      <c r="AN175" s="7"/>
      <c r="AW175" s="7"/>
      <c r="AX175" s="7"/>
    </row>
    <row r="176" spans="2:50">
      <c r="B176" s="33">
        <f t="shared" si="18"/>
        <v>71.5</v>
      </c>
      <c r="C176" s="38">
        <f t="shared" si="13"/>
        <v>1.1916666666666667</v>
      </c>
      <c r="D176" s="37"/>
      <c r="E176" s="37" cm="1">
        <f t="array" ref="E176">IF(ISNUMBER(SEARCH(".5",B176)),(E175+E177)/2,INDEX(Regen!$A$1:$Z$123,MATCH(ROUND(B176,0),Regen!$A:$A,0),Berechnung_Versickerung!$J$9))</f>
        <v>79.936149400000005</v>
      </c>
      <c r="F176" s="37">
        <f t="shared" si="14"/>
        <v>2.1167092361120003</v>
      </c>
      <c r="G176" s="37">
        <f t="shared" si="15"/>
        <v>9.0806826229204809</v>
      </c>
      <c r="H176" s="37">
        <f t="shared" si="17"/>
        <v>7.15</v>
      </c>
      <c r="I176" s="37">
        <f t="shared" si="16"/>
        <v>1.9306826229204805</v>
      </c>
      <c r="L176" s="33"/>
      <c r="M176" s="38"/>
      <c r="N176" s="37"/>
      <c r="O176" s="37"/>
      <c r="P176" s="37"/>
      <c r="Q176" s="37"/>
      <c r="R176" s="37"/>
      <c r="S176" s="37"/>
      <c r="T176" s="35"/>
      <c r="U176" s="36"/>
      <c r="V176" s="35"/>
      <c r="AE176" s="7"/>
      <c r="AH176" s="7"/>
      <c r="AN176" s="7"/>
      <c r="AW176" s="7"/>
      <c r="AX176" s="7"/>
    </row>
    <row r="177" spans="2:50">
      <c r="B177" s="33">
        <f t="shared" si="18"/>
        <v>72</v>
      </c>
      <c r="C177" s="38">
        <f t="shared" si="13"/>
        <v>1.2</v>
      </c>
      <c r="D177" s="37"/>
      <c r="E177" s="37" cm="1">
        <f t="array" ref="E177">IF(ISNUMBER(SEARCH(".5",B177)),(E176+E178)/2,INDEX(Regen!$A$1:$Z$123,MATCH(ROUND(B177,0),Regen!$A:$A,0),Berechnung_Versickerung!$J$9))</f>
        <v>79.490238669999997</v>
      </c>
      <c r="F177" s="37">
        <f t="shared" si="14"/>
        <v>2.1049015199815999</v>
      </c>
      <c r="G177" s="37">
        <f t="shared" si="15"/>
        <v>9.0931745663205117</v>
      </c>
      <c r="H177" s="37">
        <f t="shared" si="17"/>
        <v>7.2000000000000011</v>
      </c>
      <c r="I177" s="37">
        <f t="shared" si="16"/>
        <v>1.8931745663205106</v>
      </c>
      <c r="L177" s="33"/>
      <c r="M177" s="38"/>
      <c r="N177" s="37"/>
      <c r="O177" s="37"/>
      <c r="P177" s="37"/>
      <c r="Q177" s="37"/>
      <c r="R177" s="37"/>
      <c r="S177" s="37"/>
      <c r="T177" s="35"/>
      <c r="U177" s="36"/>
      <c r="V177" s="35"/>
      <c r="AE177" s="7"/>
      <c r="AH177" s="7"/>
      <c r="AN177" s="7"/>
      <c r="AW177" s="7"/>
      <c r="AX177" s="7"/>
    </row>
    <row r="178" spans="2:50">
      <c r="B178" s="33">
        <f t="shared" si="18"/>
        <v>72.5</v>
      </c>
      <c r="C178" s="38">
        <f t="shared" si="13"/>
        <v>1.2083333333333333</v>
      </c>
      <c r="D178" s="37"/>
      <c r="E178" s="37" cm="1">
        <f t="array" ref="E178">IF(ISNUMBER(SEARCH(".5",B178)),(E177+E179)/2,INDEX(Regen!$A$1:$Z$123,MATCH(ROUND(B178,0),Regen!$A:$A,0),Berechnung_Versickerung!$J$9))</f>
        <v>79.055690765000008</v>
      </c>
      <c r="F178" s="37">
        <f t="shared" si="14"/>
        <v>2.0933946914572004</v>
      </c>
      <c r="G178" s="37">
        <f t="shared" si="15"/>
        <v>9.1062669078388225</v>
      </c>
      <c r="H178" s="37">
        <f t="shared" si="17"/>
        <v>7.25</v>
      </c>
      <c r="I178" s="37">
        <f t="shared" si="16"/>
        <v>1.8562669078388225</v>
      </c>
      <c r="L178" s="33"/>
      <c r="M178" s="38"/>
      <c r="N178" s="37"/>
      <c r="O178" s="37"/>
      <c r="P178" s="37"/>
      <c r="Q178" s="37"/>
      <c r="R178" s="37"/>
      <c r="S178" s="37"/>
      <c r="T178" s="35"/>
      <c r="U178" s="36"/>
      <c r="V178" s="35"/>
      <c r="AE178" s="7"/>
      <c r="AH178" s="7"/>
      <c r="AN178" s="7"/>
      <c r="AW178" s="7"/>
      <c r="AX178" s="7"/>
    </row>
    <row r="179" spans="2:50">
      <c r="B179" s="33">
        <f t="shared" si="18"/>
        <v>73</v>
      </c>
      <c r="C179" s="38">
        <f t="shared" si="13"/>
        <v>1.2166666666666666</v>
      </c>
      <c r="D179" s="37"/>
      <c r="E179" s="37" cm="1">
        <f t="array" ref="E179">IF(ISNUMBER(SEARCH(".5",B179)),(E178+E180)/2,INDEX(Regen!$A$1:$Z$123,MATCH(ROUND(B179,0),Regen!$A:$A,0),Berechnung_Versickerung!$J$9))</f>
        <v>78.621142860000006</v>
      </c>
      <c r="F179" s="37">
        <f t="shared" si="14"/>
        <v>2.0818878629328004</v>
      </c>
      <c r="G179" s="37">
        <f t="shared" si="15"/>
        <v>9.1186688396456663</v>
      </c>
      <c r="H179" s="37">
        <f t="shared" si="17"/>
        <v>7.3</v>
      </c>
      <c r="I179" s="37">
        <f t="shared" si="16"/>
        <v>1.8186688396456665</v>
      </c>
      <c r="L179" s="33"/>
      <c r="M179" s="38"/>
      <c r="N179" s="37"/>
      <c r="O179" s="37"/>
      <c r="P179" s="37"/>
      <c r="Q179" s="37"/>
      <c r="R179" s="37"/>
      <c r="S179" s="37"/>
      <c r="T179" s="35"/>
      <c r="U179" s="36"/>
      <c r="V179" s="35"/>
      <c r="AE179" s="7"/>
      <c r="AH179" s="7"/>
      <c r="AN179" s="7"/>
      <c r="AW179" s="7"/>
      <c r="AX179" s="7"/>
    </row>
    <row r="180" spans="2:50">
      <c r="B180" s="33">
        <f t="shared" si="18"/>
        <v>73.5</v>
      </c>
      <c r="C180" s="38">
        <f t="shared" si="13"/>
        <v>1.2250000000000001</v>
      </c>
      <c r="D180" s="37"/>
      <c r="E180" s="37" cm="1">
        <f t="array" ref="E180">IF(ISNUMBER(SEARCH(".5",B180)),(E179+E181)/2,INDEX(Regen!$A$1:$Z$123,MATCH(ROUND(B180,0),Regen!$A:$A,0),Berechnung_Versickerung!$J$9))</f>
        <v>78.197514925000007</v>
      </c>
      <c r="F180" s="37">
        <f t="shared" si="14"/>
        <v>2.0706701952140003</v>
      </c>
      <c r="G180" s="37">
        <f t="shared" si="15"/>
        <v>9.1316555608937406</v>
      </c>
      <c r="H180" s="37">
        <f t="shared" si="17"/>
        <v>7.3500000000000005</v>
      </c>
      <c r="I180" s="37">
        <f t="shared" si="16"/>
        <v>1.7816555608937401</v>
      </c>
      <c r="L180" s="33"/>
      <c r="M180" s="38"/>
      <c r="N180" s="37"/>
      <c r="O180" s="37"/>
      <c r="P180" s="37"/>
      <c r="Q180" s="37"/>
      <c r="R180" s="37"/>
      <c r="S180" s="37"/>
      <c r="T180" s="35"/>
      <c r="U180" s="36"/>
      <c r="V180" s="35"/>
      <c r="AE180" s="7"/>
      <c r="AH180" s="7"/>
      <c r="AN180" s="7"/>
      <c r="AW180" s="7"/>
      <c r="AX180" s="7"/>
    </row>
    <row r="181" spans="2:50">
      <c r="B181" s="33">
        <f t="shared" si="18"/>
        <v>74</v>
      </c>
      <c r="C181" s="38">
        <f t="shared" si="13"/>
        <v>1.2333333333333334</v>
      </c>
      <c r="D181" s="37"/>
      <c r="E181" s="37" cm="1">
        <f t="array" ref="E181">IF(ISNUMBER(SEARCH(".5",B181)),(E180+E182)/2,INDEX(Regen!$A$1:$Z$123,MATCH(ROUND(B181,0),Regen!$A:$A,0),Berechnung_Versickerung!$J$9))</f>
        <v>77.773886989999994</v>
      </c>
      <c r="F181" s="37">
        <f t="shared" si="14"/>
        <v>2.0594525274951998</v>
      </c>
      <c r="G181" s="37">
        <f t="shared" si="15"/>
        <v>9.1439692220786881</v>
      </c>
      <c r="H181" s="37">
        <f t="shared" si="17"/>
        <v>7.4000000000000012</v>
      </c>
      <c r="I181" s="37">
        <f t="shared" si="16"/>
        <v>1.7439692220786869</v>
      </c>
      <c r="L181" s="33"/>
      <c r="M181" s="38"/>
      <c r="N181" s="37"/>
      <c r="O181" s="37"/>
      <c r="P181" s="37"/>
      <c r="Q181" s="37"/>
      <c r="R181" s="37"/>
      <c r="S181" s="37"/>
      <c r="T181" s="35"/>
      <c r="U181" s="36"/>
      <c r="V181" s="35"/>
      <c r="AE181" s="7"/>
      <c r="AH181" s="7"/>
      <c r="AN181" s="7"/>
      <c r="AW181" s="7"/>
      <c r="AX181" s="7"/>
    </row>
    <row r="182" spans="2:50">
      <c r="B182" s="33">
        <f t="shared" si="18"/>
        <v>74.5</v>
      </c>
      <c r="C182" s="38">
        <f t="shared" si="13"/>
        <v>1.2416666666666667</v>
      </c>
      <c r="D182" s="37"/>
      <c r="E182" s="37" cm="1">
        <f t="array" ref="E182">IF(ISNUMBER(SEARCH(".5",B182)),(E181+E183)/2,INDEX(Regen!$A$1:$Z$123,MATCH(ROUND(B182,0),Regen!$A:$A,0),Berechnung_Versickerung!$J$9))</f>
        <v>77.360759169999994</v>
      </c>
      <c r="F182" s="37">
        <f t="shared" si="14"/>
        <v>2.0485129028215998</v>
      </c>
      <c r="G182" s="37">
        <f t="shared" si="15"/>
        <v>9.1568526756125515</v>
      </c>
      <c r="H182" s="37">
        <f t="shared" si="17"/>
        <v>7.45</v>
      </c>
      <c r="I182" s="37">
        <f t="shared" si="16"/>
        <v>1.7068526756125513</v>
      </c>
      <c r="L182" s="33"/>
      <c r="M182" s="38"/>
      <c r="N182" s="37"/>
      <c r="O182" s="37"/>
      <c r="P182" s="37"/>
      <c r="Q182" s="37"/>
      <c r="R182" s="37"/>
      <c r="S182" s="37"/>
      <c r="T182" s="35"/>
      <c r="U182" s="36"/>
      <c r="V182" s="35"/>
      <c r="AE182" s="7"/>
      <c r="AH182" s="7"/>
      <c r="AN182" s="7"/>
      <c r="AW182" s="7"/>
      <c r="AX182" s="7"/>
    </row>
    <row r="183" spans="2:50">
      <c r="B183" s="33">
        <f t="shared" si="18"/>
        <v>75</v>
      </c>
      <c r="C183" s="38">
        <f t="shared" si="13"/>
        <v>1.25</v>
      </c>
      <c r="D183" s="37"/>
      <c r="E183" s="37" cm="1">
        <f t="array" ref="E183">IF(ISNUMBER(SEARCH(".5",B183)),(E182+E184)/2,INDEX(Regen!$A$1:$Z$123,MATCH(ROUND(B183,0),Regen!$A:$A,0),Berechnung_Versickerung!$J$9))</f>
        <v>76.947631349999995</v>
      </c>
      <c r="F183" s="37">
        <f t="shared" si="14"/>
        <v>2.0375732781479998</v>
      </c>
      <c r="G183" s="37">
        <f t="shared" si="15"/>
        <v>9.1690797516659988</v>
      </c>
      <c r="H183" s="37">
        <f t="shared" si="17"/>
        <v>7.5</v>
      </c>
      <c r="I183" s="37">
        <f t="shared" si="16"/>
        <v>1.6690797516659988</v>
      </c>
      <c r="L183" s="33"/>
      <c r="M183" s="38"/>
      <c r="N183" s="37"/>
      <c r="O183" s="37"/>
      <c r="P183" s="37"/>
      <c r="Q183" s="37"/>
      <c r="R183" s="37"/>
      <c r="S183" s="37"/>
      <c r="T183" s="35"/>
      <c r="U183" s="36"/>
      <c r="V183" s="35"/>
      <c r="AE183" s="7"/>
      <c r="AH183" s="7"/>
      <c r="AN183" s="7"/>
      <c r="AW183" s="7"/>
      <c r="AX183" s="7"/>
    </row>
    <row r="184" spans="2:50">
      <c r="B184" s="33">
        <f t="shared" si="18"/>
        <v>75.5</v>
      </c>
      <c r="C184" s="38">
        <f t="shared" si="13"/>
        <v>1.2583333333333333</v>
      </c>
      <c r="D184" s="37"/>
      <c r="E184" s="37" cm="1">
        <f t="array" ref="E184">IF(ISNUMBER(SEARCH(".5",B184)),(E183+E185)/2,INDEX(Regen!$A$1:$Z$123,MATCH(ROUND(B184,0),Regen!$A:$A,0),Berechnung_Versickerung!$J$9))</f>
        <v>76.544605340000004</v>
      </c>
      <c r="F184" s="37">
        <f t="shared" si="14"/>
        <v>2.0269011494032001</v>
      </c>
      <c r="G184" s="37">
        <f t="shared" si="15"/>
        <v>9.1818622067964952</v>
      </c>
      <c r="H184" s="37">
        <f t="shared" si="17"/>
        <v>7.5500000000000007</v>
      </c>
      <c r="I184" s="37">
        <f t="shared" si="16"/>
        <v>1.6318622067964945</v>
      </c>
      <c r="L184" s="33"/>
      <c r="M184" s="38"/>
      <c r="N184" s="37"/>
      <c r="O184" s="37"/>
      <c r="P184" s="37"/>
      <c r="Q184" s="37"/>
      <c r="R184" s="37"/>
      <c r="S184" s="37"/>
      <c r="T184" s="35"/>
      <c r="U184" s="36"/>
      <c r="V184" s="35"/>
      <c r="AE184" s="7"/>
      <c r="AH184" s="7"/>
      <c r="AN184" s="7"/>
      <c r="AW184" s="7"/>
      <c r="AX184" s="7"/>
    </row>
    <row r="185" spans="2:50">
      <c r="B185" s="33">
        <f t="shared" si="18"/>
        <v>76</v>
      </c>
      <c r="C185" s="38">
        <f t="shared" si="13"/>
        <v>1.2666666666666666</v>
      </c>
      <c r="D185" s="37"/>
      <c r="E185" s="37" cm="1">
        <f t="array" ref="E185">IF(ISNUMBER(SEARCH(".5",B185)),(E184+E186)/2,INDEX(Regen!$A$1:$Z$123,MATCH(ROUND(B185,0),Regen!$A:$A,0),Berechnung_Versickerung!$J$9))</f>
        <v>76.141579329999999</v>
      </c>
      <c r="F185" s="37">
        <f t="shared" si="14"/>
        <v>2.0162290206583999</v>
      </c>
      <c r="G185" s="37">
        <f t="shared" si="15"/>
        <v>9.1940043342023028</v>
      </c>
      <c r="H185" s="37">
        <f t="shared" si="17"/>
        <v>7.6</v>
      </c>
      <c r="I185" s="37">
        <f t="shared" si="16"/>
        <v>1.5940043342023031</v>
      </c>
      <c r="L185" s="33"/>
      <c r="M185" s="38"/>
      <c r="N185" s="37"/>
      <c r="O185" s="37"/>
      <c r="P185" s="37"/>
      <c r="Q185" s="37"/>
      <c r="R185" s="37"/>
      <c r="S185" s="37"/>
      <c r="T185" s="35"/>
      <c r="U185" s="36"/>
      <c r="V185" s="35"/>
      <c r="AE185" s="7"/>
      <c r="AH185" s="7"/>
      <c r="AN185" s="7"/>
      <c r="AW185" s="7"/>
      <c r="AX185" s="7"/>
    </row>
    <row r="186" spans="2:50">
      <c r="B186" s="33">
        <f t="shared" si="18"/>
        <v>76.5</v>
      </c>
      <c r="C186" s="38">
        <f t="shared" si="13"/>
        <v>1.2749999999999999</v>
      </c>
      <c r="D186" s="37"/>
      <c r="E186" s="37" cm="1">
        <f t="array" ref="E186">IF(ISNUMBER(SEARCH(".5",B186)),(E185+E187)/2,INDEX(Regen!$A$1:$Z$123,MATCH(ROUND(B186,0),Regen!$A:$A,0),Berechnung_Versickerung!$J$9))</f>
        <v>75.748276965000002</v>
      </c>
      <c r="F186" s="37">
        <f t="shared" si="14"/>
        <v>2.0058143740332</v>
      </c>
      <c r="G186" s="37">
        <f t="shared" si="15"/>
        <v>9.2066879768123879</v>
      </c>
      <c r="H186" s="37">
        <f t="shared" si="17"/>
        <v>7.65</v>
      </c>
      <c r="I186" s="37">
        <f t="shared" si="16"/>
        <v>1.5566879768123876</v>
      </c>
      <c r="L186" s="33"/>
      <c r="M186" s="38"/>
      <c r="N186" s="37"/>
      <c r="O186" s="37"/>
      <c r="P186" s="37"/>
      <c r="Q186" s="37"/>
      <c r="R186" s="37"/>
      <c r="S186" s="37"/>
      <c r="T186" s="35"/>
      <c r="U186" s="36"/>
      <c r="V186" s="35"/>
      <c r="AE186" s="7"/>
      <c r="AH186" s="7"/>
      <c r="AN186" s="7"/>
      <c r="AW186" s="7"/>
      <c r="AX186" s="7"/>
    </row>
    <row r="187" spans="2:50">
      <c r="B187" s="33">
        <f t="shared" si="18"/>
        <v>77</v>
      </c>
      <c r="C187" s="38">
        <f t="shared" si="13"/>
        <v>1.2833333333333334</v>
      </c>
      <c r="D187" s="37"/>
      <c r="E187" s="37" cm="1">
        <f t="array" ref="E187">IF(ISNUMBER(SEARCH(".5",B187)),(E186+E188)/2,INDEX(Regen!$A$1:$Z$123,MATCH(ROUND(B187,0),Regen!$A:$A,0),Berechnung_Versickerung!$J$9))</f>
        <v>75.354974600000006</v>
      </c>
      <c r="F187" s="37">
        <f t="shared" si="14"/>
        <v>1.9953997274080002</v>
      </c>
      <c r="G187" s="37">
        <f t="shared" si="15"/>
        <v>9.2187467406249617</v>
      </c>
      <c r="H187" s="37">
        <f t="shared" si="17"/>
        <v>7.7</v>
      </c>
      <c r="I187" s="37">
        <f t="shared" si="16"/>
        <v>1.5187467406249615</v>
      </c>
      <c r="L187" s="33"/>
      <c r="M187" s="38"/>
      <c r="N187" s="37"/>
      <c r="O187" s="37"/>
      <c r="P187" s="37"/>
      <c r="Q187" s="37"/>
      <c r="R187" s="37"/>
      <c r="S187" s="37"/>
      <c r="T187" s="35"/>
      <c r="U187" s="36"/>
      <c r="V187" s="35"/>
      <c r="AE187" s="7"/>
      <c r="AH187" s="7"/>
      <c r="AN187" s="7"/>
      <c r="AW187" s="7"/>
      <c r="AX187" s="7"/>
    </row>
    <row r="188" spans="2:50">
      <c r="B188" s="33">
        <f t="shared" si="18"/>
        <v>77.5</v>
      </c>
      <c r="C188" s="38">
        <f t="shared" si="13"/>
        <v>1.2916666666666667</v>
      </c>
      <c r="D188" s="37"/>
      <c r="E188" s="37" cm="1">
        <f t="array" ref="E188">IF(ISNUMBER(SEARCH(".5",B188)),(E187+E189)/2,INDEX(Regen!$A$1:$Z$123,MATCH(ROUND(B188,0),Regen!$A:$A,0),Berechnung_Versickerung!$J$9))</f>
        <v>74.97103663</v>
      </c>
      <c r="F188" s="37">
        <f t="shared" si="14"/>
        <v>1.9852330499624</v>
      </c>
      <c r="G188" s="37">
        <f t="shared" si="15"/>
        <v>9.231333682325161</v>
      </c>
      <c r="H188" s="37">
        <f t="shared" si="17"/>
        <v>7.7500000000000009</v>
      </c>
      <c r="I188" s="37">
        <f t="shared" si="16"/>
        <v>1.4813336823251602</v>
      </c>
      <c r="L188" s="33"/>
      <c r="M188" s="38"/>
      <c r="N188" s="37"/>
      <c r="O188" s="37"/>
      <c r="P188" s="37"/>
      <c r="Q188" s="37"/>
      <c r="R188" s="37"/>
      <c r="S188" s="37"/>
      <c r="T188" s="35"/>
      <c r="U188" s="36"/>
      <c r="V188" s="35"/>
      <c r="AE188" s="7"/>
      <c r="AH188" s="7"/>
      <c r="AN188" s="7"/>
      <c r="AW188" s="7"/>
      <c r="AX188" s="7"/>
    </row>
    <row r="189" spans="2:50">
      <c r="B189" s="33">
        <f t="shared" si="18"/>
        <v>78</v>
      </c>
      <c r="C189" s="38">
        <f t="shared" si="13"/>
        <v>1.3</v>
      </c>
      <c r="D189" s="37"/>
      <c r="E189" s="37" cm="1">
        <f t="array" ref="E189">IF(ISNUMBER(SEARCH(".5",B189)),(E188+E190)/2,INDEX(Regen!$A$1:$Z$123,MATCH(ROUND(B189,0),Regen!$A:$A,0),Berechnung_Versickerung!$J$9))</f>
        <v>74.587098659999995</v>
      </c>
      <c r="F189" s="37">
        <f t="shared" si="14"/>
        <v>1.9750663725167998</v>
      </c>
      <c r="G189" s="37">
        <f t="shared" si="15"/>
        <v>9.2433106233786244</v>
      </c>
      <c r="H189" s="37">
        <f t="shared" si="17"/>
        <v>7.8</v>
      </c>
      <c r="I189" s="37">
        <f t="shared" si="16"/>
        <v>1.4433106233786246</v>
      </c>
      <c r="L189" s="33"/>
      <c r="M189" s="38"/>
      <c r="N189" s="37"/>
      <c r="O189" s="37"/>
      <c r="P189" s="37"/>
      <c r="Q189" s="37"/>
      <c r="R189" s="37"/>
      <c r="S189" s="37"/>
      <c r="T189" s="35"/>
      <c r="U189" s="36"/>
      <c r="V189" s="35"/>
      <c r="AE189" s="7"/>
      <c r="AH189" s="7"/>
      <c r="AN189" s="7"/>
      <c r="AW189" s="7"/>
      <c r="AX189" s="7"/>
    </row>
    <row r="190" spans="2:50">
      <c r="B190" s="33">
        <f t="shared" si="18"/>
        <v>78.5</v>
      </c>
      <c r="C190" s="38">
        <f t="shared" si="13"/>
        <v>1.3083333333333333</v>
      </c>
      <c r="D190" s="37"/>
      <c r="E190" s="37" cm="1">
        <f t="array" ref="E190">IF(ISNUMBER(SEARCH(".5",B190)),(E189+E191)/2,INDEX(Regen!$A$1:$Z$123,MATCH(ROUND(B190,0),Regen!$A:$A,0),Berechnung_Versickerung!$J$9))</f>
        <v>74.212183534999994</v>
      </c>
      <c r="F190" s="37">
        <f t="shared" si="14"/>
        <v>1.9651386200068</v>
      </c>
      <c r="G190" s="37">
        <f t="shared" si="15"/>
        <v>9.2558029002320268</v>
      </c>
      <c r="H190" s="37">
        <f t="shared" si="17"/>
        <v>7.8500000000000005</v>
      </c>
      <c r="I190" s="37">
        <f t="shared" si="16"/>
        <v>1.4058029002320263</v>
      </c>
      <c r="L190" s="33"/>
      <c r="M190" s="38"/>
      <c r="N190" s="37"/>
      <c r="O190" s="37"/>
      <c r="P190" s="37"/>
      <c r="Q190" s="37"/>
      <c r="R190" s="37"/>
      <c r="S190" s="37"/>
      <c r="T190" s="35"/>
      <c r="U190" s="36"/>
      <c r="V190" s="35"/>
      <c r="AE190" s="7"/>
      <c r="AH190" s="7"/>
      <c r="AN190" s="7"/>
      <c r="AW190" s="7"/>
      <c r="AX190" s="7"/>
    </row>
    <row r="191" spans="2:50">
      <c r="B191" s="33">
        <f t="shared" si="18"/>
        <v>79</v>
      </c>
      <c r="C191" s="38">
        <f t="shared" si="13"/>
        <v>1.3166666666666667</v>
      </c>
      <c r="D191" s="37"/>
      <c r="E191" s="37" cm="1">
        <f t="array" ref="E191">IF(ISNUMBER(SEARCH(".5",B191)),(E190+E192)/2,INDEX(Regen!$A$1:$Z$123,MATCH(ROUND(B191,0),Regen!$A:$A,0),Berechnung_Versickerung!$J$9))</f>
        <v>73.837268409999993</v>
      </c>
      <c r="F191" s="37">
        <f t="shared" si="14"/>
        <v>1.9552108674967998</v>
      </c>
      <c r="G191" s="37">
        <f t="shared" si="15"/>
        <v>9.2676995119348327</v>
      </c>
      <c r="H191" s="37">
        <f t="shared" si="17"/>
        <v>7.9</v>
      </c>
      <c r="I191" s="37">
        <f t="shared" si="16"/>
        <v>1.3676995119348323</v>
      </c>
      <c r="L191" s="33"/>
      <c r="M191" s="38"/>
      <c r="N191" s="37"/>
      <c r="O191" s="37"/>
      <c r="P191" s="37"/>
      <c r="Q191" s="37"/>
      <c r="R191" s="37"/>
      <c r="S191" s="37"/>
      <c r="T191" s="35"/>
      <c r="U191" s="36"/>
      <c r="V191" s="35"/>
      <c r="AE191" s="7"/>
      <c r="AH191" s="7"/>
      <c r="AN191" s="7"/>
      <c r="AW191" s="7"/>
      <c r="AX191" s="7"/>
    </row>
    <row r="192" spans="2:50">
      <c r="B192" s="33">
        <f t="shared" si="18"/>
        <v>79.5</v>
      </c>
      <c r="C192" s="38">
        <f t="shared" si="13"/>
        <v>1.325</v>
      </c>
      <c r="D192" s="37"/>
      <c r="E192" s="37" cm="1">
        <f t="array" ref="E192">IF(ISNUMBER(SEARCH(".5",B192)),(E191+E193)/2,INDEX(Regen!$A$1:$Z$123,MATCH(ROUND(B192,0),Regen!$A:$A,0),Berechnung_Versickerung!$J$9))</f>
        <v>73.471051219999993</v>
      </c>
      <c r="F192" s="37">
        <f t="shared" si="14"/>
        <v>1.9455134363055997</v>
      </c>
      <c r="G192" s="37">
        <f t="shared" si="15"/>
        <v>9.2800990911777106</v>
      </c>
      <c r="H192" s="37">
        <f t="shared" si="17"/>
        <v>7.9499999999999993</v>
      </c>
      <c r="I192" s="37">
        <f t="shared" si="16"/>
        <v>1.3300990911777113</v>
      </c>
      <c r="L192" s="33"/>
      <c r="M192" s="38"/>
      <c r="N192" s="37"/>
      <c r="O192" s="37"/>
      <c r="P192" s="37"/>
      <c r="Q192" s="37"/>
      <c r="R192" s="37"/>
      <c r="S192" s="37"/>
      <c r="T192" s="35"/>
      <c r="U192" s="36"/>
      <c r="V192" s="35"/>
      <c r="AE192" s="7"/>
      <c r="AH192" s="7"/>
      <c r="AN192" s="7"/>
      <c r="AW192" s="7"/>
      <c r="AX192" s="7"/>
    </row>
    <row r="193" spans="1:50">
      <c r="B193" s="33">
        <f t="shared" si="18"/>
        <v>80</v>
      </c>
      <c r="C193" s="38">
        <f t="shared" si="13"/>
        <v>1.3333333333333333</v>
      </c>
      <c r="D193" s="37"/>
      <c r="E193" s="37" cm="1">
        <f t="array" ref="E193">IF(ISNUMBER(SEARCH(".5",B193)),(E192+E194)/2,INDEX(Regen!$A$1:$Z$123,MATCH(ROUND(B193,0),Regen!$A:$A,0),Berechnung_Versickerung!$J$9))</f>
        <v>73.104834030000006</v>
      </c>
      <c r="F193" s="37">
        <f t="shared" si="14"/>
        <v>1.9358160051144002</v>
      </c>
      <c r="G193" s="37">
        <f t="shared" si="15"/>
        <v>9.2919168245491193</v>
      </c>
      <c r="H193" s="37">
        <f t="shared" si="17"/>
        <v>8</v>
      </c>
      <c r="I193" s="37">
        <f t="shared" si="16"/>
        <v>1.2919168245491193</v>
      </c>
      <c r="L193" s="33"/>
      <c r="M193" s="38"/>
      <c r="N193" s="37"/>
      <c r="O193" s="37"/>
      <c r="P193" s="37"/>
      <c r="Q193" s="37"/>
      <c r="R193" s="37"/>
      <c r="S193" s="37"/>
      <c r="T193" s="35"/>
      <c r="U193" s="36"/>
      <c r="V193" s="35"/>
      <c r="AE193" s="7"/>
      <c r="AH193" s="7"/>
      <c r="AN193" s="7"/>
      <c r="AW193" s="7"/>
      <c r="AX193" s="7"/>
    </row>
    <row r="194" spans="1:50">
      <c r="B194" s="33">
        <f t="shared" si="18"/>
        <v>80.5</v>
      </c>
      <c r="C194" s="38">
        <f t="shared" si="13"/>
        <v>1.3416666666666666</v>
      </c>
      <c r="D194" s="37"/>
      <c r="E194" s="37" cm="1">
        <f t="array" ref="E194">IF(ISNUMBER(SEARCH(".5",B194)),(E193+E195)/2,INDEX(Regen!$A$1:$Z$123,MATCH(ROUND(B194,0),Regen!$A:$A,0),Berechnung_Versickerung!$J$9))</f>
        <v>72.747005485000003</v>
      </c>
      <c r="F194" s="37">
        <f t="shared" si="14"/>
        <v>1.9263407052428001</v>
      </c>
      <c r="G194" s="37">
        <f t="shared" si="15"/>
        <v>9.3042256063227242</v>
      </c>
      <c r="H194" s="37">
        <f t="shared" si="17"/>
        <v>8.0500000000000007</v>
      </c>
      <c r="I194" s="37">
        <f t="shared" si="16"/>
        <v>1.2542256063227235</v>
      </c>
      <c r="L194" s="33"/>
      <c r="M194" s="38"/>
      <c r="N194" s="37"/>
      <c r="O194" s="37"/>
      <c r="P194" s="37"/>
      <c r="Q194" s="37"/>
      <c r="R194" s="37"/>
      <c r="S194" s="37"/>
      <c r="T194" s="35"/>
      <c r="U194" s="36"/>
      <c r="V194" s="35"/>
      <c r="AE194" s="7"/>
      <c r="AH194" s="7"/>
      <c r="AN194" s="7"/>
      <c r="AW194" s="7"/>
      <c r="AX194" s="7"/>
    </row>
    <row r="195" spans="1:50">
      <c r="B195" s="33">
        <f t="shared" si="18"/>
        <v>81</v>
      </c>
      <c r="C195" s="38">
        <f t="shared" si="13"/>
        <v>1.35</v>
      </c>
      <c r="D195" s="37"/>
      <c r="E195" s="37" cm="1">
        <f t="array" ref="E195">IF(ISNUMBER(SEARCH(".5",B195)),(E194+E196)/2,INDEX(Regen!$A$1:$Z$123,MATCH(ROUND(B195,0),Regen!$A:$A,0),Berechnung_Versickerung!$J$9))</f>
        <v>72.389176939999999</v>
      </c>
      <c r="F195" s="37">
        <f t="shared" si="14"/>
        <v>1.9168654053712</v>
      </c>
      <c r="G195" s="37">
        <f t="shared" si="15"/>
        <v>9.3159658701040318</v>
      </c>
      <c r="H195" s="37">
        <f t="shared" si="17"/>
        <v>8.1000000000000014</v>
      </c>
      <c r="I195" s="37">
        <f t="shared" si="16"/>
        <v>1.2159658701040303</v>
      </c>
      <c r="L195" s="33"/>
      <c r="M195" s="38"/>
      <c r="N195" s="37"/>
      <c r="O195" s="37"/>
      <c r="P195" s="37"/>
      <c r="Q195" s="37"/>
      <c r="R195" s="37"/>
      <c r="S195" s="37"/>
      <c r="T195" s="35"/>
      <c r="U195" s="36"/>
      <c r="V195" s="35"/>
      <c r="AE195" s="7"/>
      <c r="AH195" s="7"/>
      <c r="AN195" s="7"/>
      <c r="AW195" s="7"/>
      <c r="AX195" s="7"/>
    </row>
    <row r="196" spans="1:50">
      <c r="B196" s="33">
        <f t="shared" si="18"/>
        <v>81.5</v>
      </c>
      <c r="C196" s="38">
        <f t="shared" si="13"/>
        <v>1.3583333333333334</v>
      </c>
      <c r="D196" s="37"/>
      <c r="E196" s="37" cm="1">
        <f t="array" ref="E196">IF(ISNUMBER(SEARCH(".5",B196)),(E195+E197)/2,INDEX(Regen!$A$1:$Z$123,MATCH(ROUND(B196,0),Regen!$A:$A,0),Berechnung_Versickerung!$J$9))</f>
        <v>72.039442444999992</v>
      </c>
      <c r="F196" s="37">
        <f t="shared" si="14"/>
        <v>1.9076044359435997</v>
      </c>
      <c r="G196" s="37">
        <f t="shared" si="15"/>
        <v>9.328185691764201</v>
      </c>
      <c r="H196" s="37">
        <f t="shared" si="17"/>
        <v>8.15</v>
      </c>
      <c r="I196" s="37">
        <f t="shared" si="16"/>
        <v>1.1781856917642006</v>
      </c>
      <c r="L196" s="33"/>
      <c r="M196" s="38"/>
      <c r="N196" s="37"/>
      <c r="O196" s="37"/>
      <c r="P196" s="37"/>
      <c r="Q196" s="37"/>
      <c r="R196" s="37"/>
      <c r="S196" s="37"/>
      <c r="T196" s="35"/>
      <c r="U196" s="36"/>
      <c r="V196" s="35"/>
      <c r="AE196" s="7"/>
      <c r="AH196" s="7"/>
      <c r="AN196" s="7"/>
      <c r="AW196" s="7"/>
      <c r="AX196" s="7"/>
    </row>
    <row r="197" spans="1:50">
      <c r="A197" s="7"/>
      <c r="B197" s="33">
        <f t="shared" si="18"/>
        <v>82</v>
      </c>
      <c r="C197" s="38">
        <f t="shared" si="13"/>
        <v>1.3666666666666667</v>
      </c>
      <c r="D197" s="37"/>
      <c r="E197" s="37" cm="1">
        <f t="array" ref="E197">IF(ISNUMBER(SEARCH(".5",B197)),(E196+E198)/2,INDEX(Regen!$A$1:$Z$123,MATCH(ROUND(B197,0),Regen!$A:$A,0),Berechnung_Versickerung!$J$9))</f>
        <v>71.689707949999999</v>
      </c>
      <c r="F197" s="37">
        <f t="shared" si="14"/>
        <v>1.8983434665159999</v>
      </c>
      <c r="G197" s="37">
        <f t="shared" si="15"/>
        <v>9.3398498552587181</v>
      </c>
      <c r="H197" s="37">
        <f t="shared" si="17"/>
        <v>8.2000000000000011</v>
      </c>
      <c r="I197" s="37">
        <f t="shared" si="16"/>
        <v>1.1398498552587171</v>
      </c>
      <c r="L197" s="33"/>
      <c r="M197" s="38"/>
      <c r="N197" s="37"/>
      <c r="O197" s="37"/>
      <c r="P197" s="37"/>
      <c r="Q197" s="37"/>
      <c r="R197" s="37"/>
      <c r="S197" s="37"/>
      <c r="T197" s="35"/>
      <c r="U197" s="36"/>
      <c r="V197" s="35"/>
      <c r="AE197" s="7"/>
      <c r="AH197" s="7"/>
      <c r="AN197" s="7"/>
    </row>
    <row r="198" spans="1:50">
      <c r="A198" s="7"/>
      <c r="B198" s="33">
        <f t="shared" si="18"/>
        <v>82.5</v>
      </c>
      <c r="C198" s="38">
        <f t="shared" si="13"/>
        <v>1.375</v>
      </c>
      <c r="D198" s="37"/>
      <c r="E198" s="37" cm="1">
        <f t="array" ref="E198">IF(ISNUMBER(SEARCH(".5",B198)),(E197+E199)/2,INDEX(Regen!$A$1:$Z$123,MATCH(ROUND(B198,0),Regen!$A:$A,0),Berechnung_Versickerung!$J$9))</f>
        <v>71.347786729999996</v>
      </c>
      <c r="F198" s="37">
        <f t="shared" si="14"/>
        <v>1.8892893926104</v>
      </c>
      <c r="G198" s="37">
        <f t="shared" si="15"/>
        <v>9.3519824934214792</v>
      </c>
      <c r="H198" s="37">
        <f t="shared" si="17"/>
        <v>8.25</v>
      </c>
      <c r="I198" s="37">
        <f t="shared" si="16"/>
        <v>1.1019824934214792</v>
      </c>
      <c r="L198" s="33"/>
      <c r="M198" s="38"/>
      <c r="N198" s="37"/>
      <c r="O198" s="37"/>
      <c r="P198" s="37"/>
      <c r="Q198" s="37"/>
      <c r="R198" s="37"/>
      <c r="S198" s="37"/>
      <c r="T198" s="35"/>
      <c r="U198" s="36"/>
      <c r="V198" s="35"/>
      <c r="AE198" s="7"/>
      <c r="AH198" s="7"/>
      <c r="AN198" s="7"/>
    </row>
    <row r="199" spans="1:50">
      <c r="A199" s="7"/>
      <c r="B199" s="33">
        <f t="shared" si="18"/>
        <v>83</v>
      </c>
      <c r="C199" s="38">
        <f t="shared" si="13"/>
        <v>1.3833333333333333</v>
      </c>
      <c r="D199" s="37"/>
      <c r="E199" s="37" cm="1">
        <f t="array" ref="E199">IF(ISNUMBER(SEARCH(".5",B199)),(E198+E200)/2,INDEX(Regen!$A$1:$Z$123,MATCH(ROUND(B199,0),Regen!$A:$A,0),Berechnung_Versickerung!$J$9))</f>
        <v>71.005865510000007</v>
      </c>
      <c r="F199" s="37">
        <f t="shared" si="14"/>
        <v>1.8802353187048002</v>
      </c>
      <c r="G199" s="37">
        <f t="shared" si="15"/>
        <v>9.3635718871499041</v>
      </c>
      <c r="H199" s="37">
        <f t="shared" si="17"/>
        <v>8.3000000000000007</v>
      </c>
      <c r="I199" s="37">
        <f t="shared" si="16"/>
        <v>1.0635718871499034</v>
      </c>
      <c r="L199" s="33"/>
      <c r="M199" s="38"/>
      <c r="N199" s="37"/>
      <c r="O199" s="37"/>
      <c r="P199" s="37"/>
      <c r="Q199" s="37"/>
      <c r="R199" s="37"/>
      <c r="S199" s="37"/>
      <c r="T199" s="35"/>
      <c r="U199" s="36"/>
      <c r="V199" s="35"/>
      <c r="AE199" s="7"/>
      <c r="AH199" s="7"/>
      <c r="AN199" s="7"/>
    </row>
    <row r="200" spans="1:50">
      <c r="A200" s="7"/>
      <c r="B200" s="33">
        <f t="shared" si="18"/>
        <v>83.5</v>
      </c>
      <c r="C200" s="38">
        <f t="shared" si="13"/>
        <v>1.3916666666666666</v>
      </c>
      <c r="D200" s="37"/>
      <c r="E200" s="37" cm="1">
        <f t="array" ref="E200">IF(ISNUMBER(SEARCH(".5",B200)),(E199+E201)/2,INDEX(Regen!$A$1:$Z$123,MATCH(ROUND(B200,0),Regen!$A:$A,0),Berechnung_Versickerung!$J$9))</f>
        <v>70.671489800000003</v>
      </c>
      <c r="F200" s="37">
        <f t="shared" si="14"/>
        <v>1.871381049904</v>
      </c>
      <c r="G200" s="37">
        <f t="shared" si="15"/>
        <v>9.3756190600190408</v>
      </c>
      <c r="H200" s="37">
        <f t="shared" si="17"/>
        <v>8.35</v>
      </c>
      <c r="I200" s="37">
        <f t="shared" si="16"/>
        <v>1.0256190600190411</v>
      </c>
      <c r="L200" s="33"/>
      <c r="M200" s="38"/>
      <c r="N200" s="37"/>
      <c r="O200" s="37"/>
      <c r="P200" s="37"/>
      <c r="Q200" s="37"/>
      <c r="R200" s="37"/>
      <c r="S200" s="37"/>
      <c r="T200" s="35"/>
      <c r="U200" s="36"/>
      <c r="V200" s="35"/>
      <c r="AE200" s="7"/>
      <c r="AH200" s="7"/>
      <c r="AN200" s="7"/>
    </row>
    <row r="201" spans="1:50">
      <c r="A201" s="7"/>
      <c r="B201" s="33">
        <f t="shared" si="18"/>
        <v>84</v>
      </c>
      <c r="C201" s="38">
        <f t="shared" si="13"/>
        <v>1.4</v>
      </c>
      <c r="D201" s="37"/>
      <c r="E201" s="37" cm="1">
        <f t="array" ref="E201">IF(ISNUMBER(SEARCH(".5",B201)),(E200+E202)/2,INDEX(Regen!$A$1:$Z$123,MATCH(ROUND(B201,0),Regen!$A:$A,0),Berechnung_Versickerung!$J$9))</f>
        <v>70.33711409</v>
      </c>
      <c r="F201" s="37">
        <f t="shared" si="14"/>
        <v>1.8625267811032</v>
      </c>
      <c r="G201" s="37">
        <f t="shared" si="15"/>
        <v>9.3871349767601284</v>
      </c>
      <c r="H201" s="37">
        <f t="shared" si="17"/>
        <v>8.4</v>
      </c>
      <c r="I201" s="37">
        <f t="shared" si="16"/>
        <v>0.98713497676012807</v>
      </c>
      <c r="L201" s="33"/>
      <c r="M201" s="38"/>
      <c r="N201" s="37"/>
      <c r="O201" s="37"/>
      <c r="P201" s="37"/>
      <c r="Q201" s="37"/>
      <c r="R201" s="37"/>
      <c r="S201" s="37"/>
      <c r="T201" s="35"/>
      <c r="U201" s="36"/>
      <c r="V201" s="35"/>
      <c r="AE201" s="7"/>
      <c r="AH201" s="7"/>
      <c r="AN201" s="7"/>
    </row>
    <row r="202" spans="1:50">
      <c r="A202" s="7"/>
      <c r="B202" s="33">
        <f t="shared" si="18"/>
        <v>84.5</v>
      </c>
      <c r="C202" s="38">
        <f t="shared" si="13"/>
        <v>1.4083333333333334</v>
      </c>
      <c r="D202" s="37"/>
      <c r="E202" s="37" cm="1">
        <f t="array" ref="E202">IF(ISNUMBER(SEARCH(".5",B202)),(E201+E203)/2,INDEX(Regen!$A$1:$Z$123,MATCH(ROUND(B202,0),Regen!$A:$A,0),Berechnung_Versickerung!$J$9))</f>
        <v>70.01002840000001</v>
      </c>
      <c r="F202" s="37">
        <f t="shared" si="14"/>
        <v>1.8538655520320002</v>
      </c>
      <c r="G202" s="37">
        <f t="shared" si="15"/>
        <v>9.3990983488022408</v>
      </c>
      <c r="H202" s="37">
        <f t="shared" si="17"/>
        <v>8.4500000000000011</v>
      </c>
      <c r="I202" s="37">
        <f t="shared" si="16"/>
        <v>0.94909834880223976</v>
      </c>
      <c r="L202" s="33"/>
      <c r="M202" s="38"/>
      <c r="N202" s="37"/>
      <c r="O202" s="37"/>
      <c r="P202" s="37"/>
      <c r="Q202" s="37"/>
      <c r="R202" s="37"/>
      <c r="S202" s="37"/>
      <c r="T202" s="35"/>
      <c r="U202" s="36"/>
      <c r="V202" s="35"/>
      <c r="AE202" s="7"/>
      <c r="AH202" s="7"/>
      <c r="AN202" s="7"/>
    </row>
    <row r="203" spans="1:50">
      <c r="A203" s="7"/>
      <c r="B203" s="33">
        <f t="shared" si="18"/>
        <v>85</v>
      </c>
      <c r="C203" s="38">
        <f t="shared" si="13"/>
        <v>1.4166666666666667</v>
      </c>
      <c r="D203" s="37"/>
      <c r="E203" s="37" cm="1">
        <f t="array" ref="E203">IF(ISNUMBER(SEARCH(".5",B203)),(E202+E204)/2,INDEX(Regen!$A$1:$Z$123,MATCH(ROUND(B203,0),Regen!$A:$A,0),Berechnung_Versickerung!$J$9))</f>
        <v>69.682942710000006</v>
      </c>
      <c r="F203" s="37">
        <f t="shared" si="14"/>
        <v>1.8452043229608002</v>
      </c>
      <c r="G203" s="37">
        <f t="shared" si="15"/>
        <v>9.4105420471000816</v>
      </c>
      <c r="H203" s="37">
        <f t="shared" si="17"/>
        <v>8.5</v>
      </c>
      <c r="I203" s="37">
        <f t="shared" si="16"/>
        <v>0.91054204710008158</v>
      </c>
      <c r="L203" s="33"/>
      <c r="M203" s="38"/>
      <c r="N203" s="37"/>
      <c r="O203" s="37"/>
      <c r="P203" s="37"/>
      <c r="Q203" s="37"/>
      <c r="R203" s="37"/>
      <c r="S203" s="37"/>
      <c r="T203" s="35"/>
      <c r="U203" s="36"/>
      <c r="V203" s="35"/>
      <c r="AE203" s="7"/>
      <c r="AH203" s="7"/>
      <c r="AN203" s="7"/>
    </row>
    <row r="204" spans="1:50">
      <c r="A204" s="7"/>
      <c r="B204" s="33">
        <f t="shared" si="18"/>
        <v>85.5</v>
      </c>
      <c r="C204" s="38">
        <f t="shared" si="13"/>
        <v>1.425</v>
      </c>
      <c r="D204" s="37"/>
      <c r="E204" s="37" cm="1">
        <f t="array" ref="E204">IF(ISNUMBER(SEARCH(".5",B204)),(E203+E205)/2,INDEX(Regen!$A$1:$Z$123,MATCH(ROUND(B204,0),Regen!$A:$A,0),Berechnung_Versickerung!$J$9))</f>
        <v>69.362903100000011</v>
      </c>
      <c r="F204" s="37">
        <f t="shared" si="14"/>
        <v>1.8367296740880004</v>
      </c>
      <c r="G204" s="37">
        <f t="shared" si="15"/>
        <v>9.4224232280714428</v>
      </c>
      <c r="H204" s="37">
        <f t="shared" si="17"/>
        <v>8.5500000000000007</v>
      </c>
      <c r="I204" s="37">
        <f t="shared" si="16"/>
        <v>0.87242322807144213</v>
      </c>
      <c r="L204" s="33"/>
      <c r="M204" s="38"/>
      <c r="N204" s="37"/>
      <c r="O204" s="37"/>
      <c r="P204" s="37"/>
      <c r="Q204" s="37"/>
      <c r="R204" s="37"/>
      <c r="S204" s="37"/>
      <c r="T204" s="35"/>
      <c r="U204" s="36"/>
      <c r="V204" s="35"/>
      <c r="AE204" s="7"/>
      <c r="AH204" s="7"/>
      <c r="AN204" s="7"/>
    </row>
    <row r="205" spans="1:50">
      <c r="A205" s="7"/>
      <c r="B205" s="33">
        <f t="shared" si="18"/>
        <v>86</v>
      </c>
      <c r="C205" s="38">
        <f t="shared" si="13"/>
        <v>1.4333333333333333</v>
      </c>
      <c r="D205" s="37"/>
      <c r="E205" s="37" cm="1">
        <f t="array" ref="E205">IF(ISNUMBER(SEARCH(".5",B205)),(E204+E206)/2,INDEX(Regen!$A$1:$Z$123,MATCH(ROUND(B205,0),Regen!$A:$A,0),Berechnung_Versickerung!$J$9))</f>
        <v>69.042863490000002</v>
      </c>
      <c r="F205" s="37">
        <f t="shared" si="14"/>
        <v>1.8282550252152001</v>
      </c>
      <c r="G205" s="37">
        <f t="shared" si="15"/>
        <v>9.433795930110433</v>
      </c>
      <c r="H205" s="37">
        <f t="shared" si="17"/>
        <v>8.6000000000000014</v>
      </c>
      <c r="I205" s="37">
        <f t="shared" si="16"/>
        <v>0.83379593011043163</v>
      </c>
      <c r="L205" s="33"/>
      <c r="M205" s="38"/>
      <c r="N205" s="37"/>
      <c r="O205" s="37"/>
      <c r="P205" s="37"/>
      <c r="Q205" s="37"/>
      <c r="R205" s="37"/>
      <c r="S205" s="37"/>
      <c r="T205" s="35"/>
      <c r="U205" s="36"/>
      <c r="V205" s="35"/>
      <c r="AE205" s="7"/>
      <c r="AH205" s="7"/>
      <c r="AN205" s="7"/>
    </row>
    <row r="206" spans="1:50">
      <c r="A206" s="7"/>
      <c r="B206" s="33">
        <f t="shared" si="18"/>
        <v>86.5</v>
      </c>
      <c r="C206" s="38">
        <f t="shared" si="13"/>
        <v>1.4416666666666667</v>
      </c>
      <c r="D206" s="37"/>
      <c r="E206" s="37" cm="1">
        <f t="array" ref="E206">IF(ISNUMBER(SEARCH(".5",B206)),(E205+E207)/2,INDEX(Regen!$A$1:$Z$123,MATCH(ROUND(B206,0),Regen!$A:$A,0),Berechnung_Versickerung!$J$9))</f>
        <v>68.72963694500001</v>
      </c>
      <c r="F206" s="37">
        <f t="shared" si="14"/>
        <v>1.8199607863036003</v>
      </c>
      <c r="G206" s="37">
        <f t="shared" si="15"/>
        <v>9.4455964809156843</v>
      </c>
      <c r="H206" s="37">
        <f t="shared" si="17"/>
        <v>8.65</v>
      </c>
      <c r="I206" s="37">
        <f t="shared" si="16"/>
        <v>0.79559648091568391</v>
      </c>
      <c r="L206" s="33"/>
      <c r="M206" s="38"/>
      <c r="N206" s="37"/>
      <c r="O206" s="37"/>
      <c r="P206" s="37"/>
      <c r="Q206" s="37"/>
      <c r="R206" s="37"/>
      <c r="S206" s="37"/>
      <c r="T206" s="35"/>
      <c r="U206" s="36"/>
      <c r="V206" s="35"/>
      <c r="AE206" s="7"/>
      <c r="AH206" s="7"/>
      <c r="AN206" s="7"/>
    </row>
    <row r="207" spans="1:50">
      <c r="A207" s="7"/>
      <c r="B207" s="33">
        <f t="shared" si="18"/>
        <v>87</v>
      </c>
      <c r="C207" s="38">
        <f t="shared" si="13"/>
        <v>1.45</v>
      </c>
      <c r="D207" s="37"/>
      <c r="E207" s="37" cm="1">
        <f t="array" ref="E207">IF(ISNUMBER(SEARCH(".5",B207)),(E206+E208)/2,INDEX(Regen!$A$1:$Z$123,MATCH(ROUND(B207,0),Regen!$A:$A,0),Berechnung_Versickerung!$J$9))</f>
        <v>68.416410400000004</v>
      </c>
      <c r="F207" s="37">
        <f t="shared" si="14"/>
        <v>1.8116665473920002</v>
      </c>
      <c r="G207" s="37">
        <f t="shared" si="15"/>
        <v>9.4568993773862395</v>
      </c>
      <c r="H207" s="37">
        <f t="shared" si="17"/>
        <v>8.6999999999999993</v>
      </c>
      <c r="I207" s="37">
        <f t="shared" si="16"/>
        <v>0.75689937738624025</v>
      </c>
      <c r="L207" s="33"/>
      <c r="M207" s="38"/>
      <c r="N207" s="37"/>
      <c r="O207" s="37"/>
      <c r="P207" s="37"/>
      <c r="Q207" s="37"/>
      <c r="R207" s="37"/>
      <c r="S207" s="37"/>
      <c r="T207" s="35"/>
      <c r="U207" s="36"/>
      <c r="V207" s="35"/>
      <c r="AE207" s="7"/>
      <c r="AH207" s="7"/>
      <c r="AN207" s="7"/>
    </row>
    <row r="208" spans="1:50">
      <c r="A208" s="7"/>
      <c r="B208" s="33">
        <f t="shared" si="18"/>
        <v>87.5</v>
      </c>
      <c r="C208" s="38">
        <f t="shared" si="13"/>
        <v>1.4583333333333333</v>
      </c>
      <c r="D208" s="37"/>
      <c r="E208" s="37" cm="1">
        <f t="array" ref="E208">IF(ISNUMBER(SEARCH(".5",B208)),(E207+E209)/2,INDEX(Regen!$A$1:$Z$123,MATCH(ROUND(B208,0),Regen!$A:$A,0),Berechnung_Versickerung!$J$9))</f>
        <v>68.109774210000012</v>
      </c>
      <c r="F208" s="37">
        <f t="shared" si="14"/>
        <v>1.8035468210808003</v>
      </c>
      <c r="G208" s="37">
        <f t="shared" si="15"/>
        <v>9.4686208106742011</v>
      </c>
      <c r="H208" s="37">
        <f t="shared" si="17"/>
        <v>8.75</v>
      </c>
      <c r="I208" s="37">
        <f t="shared" si="16"/>
        <v>0.71862081067420114</v>
      </c>
      <c r="L208" s="33"/>
      <c r="M208" s="38"/>
      <c r="N208" s="37"/>
      <c r="O208" s="37"/>
      <c r="P208" s="37"/>
      <c r="Q208" s="37"/>
      <c r="R208" s="37"/>
      <c r="S208" s="37"/>
      <c r="T208" s="35"/>
      <c r="U208" s="36"/>
      <c r="V208" s="35"/>
      <c r="AE208" s="7"/>
      <c r="AH208" s="7"/>
      <c r="AN208" s="7"/>
    </row>
    <row r="209" spans="1:40">
      <c r="A209" s="7"/>
      <c r="B209" s="33">
        <f t="shared" si="18"/>
        <v>88</v>
      </c>
      <c r="C209" s="38">
        <f t="shared" si="13"/>
        <v>1.4666666666666666</v>
      </c>
      <c r="D209" s="37"/>
      <c r="E209" s="37" cm="1">
        <f t="array" ref="E209">IF(ISNUMBER(SEARCH(".5",B209)),(E208+E210)/2,INDEX(Regen!$A$1:$Z$123,MATCH(ROUND(B209,0),Regen!$A:$A,0),Berechnung_Versickerung!$J$9))</f>
        <v>67.803138020000006</v>
      </c>
      <c r="F209" s="37">
        <f t="shared" si="14"/>
        <v>1.7954270947696001</v>
      </c>
      <c r="G209" s="37">
        <f t="shared" si="15"/>
        <v>9.479855060383489</v>
      </c>
      <c r="H209" s="37">
        <f t="shared" si="17"/>
        <v>8.8000000000000007</v>
      </c>
      <c r="I209" s="37">
        <f t="shared" si="16"/>
        <v>0.67985506038348831</v>
      </c>
      <c r="L209" s="33"/>
      <c r="M209" s="38"/>
      <c r="N209" s="37"/>
      <c r="O209" s="37"/>
      <c r="P209" s="37"/>
      <c r="Q209" s="37"/>
      <c r="R209" s="37"/>
      <c r="S209" s="37"/>
      <c r="T209" s="35"/>
      <c r="U209" s="36"/>
      <c r="V209" s="35"/>
      <c r="AE209" s="7"/>
      <c r="AH209" s="7"/>
      <c r="AN209" s="7"/>
    </row>
    <row r="210" spans="1:40">
      <c r="A210" s="7"/>
      <c r="B210" s="33">
        <f t="shared" si="18"/>
        <v>88.5</v>
      </c>
      <c r="C210" s="38">
        <f t="shared" si="13"/>
        <v>1.4750000000000001</v>
      </c>
      <c r="D210" s="37"/>
      <c r="E210" s="37" cm="1">
        <f t="array" ref="E210">IF(ISNUMBER(SEARCH(".5",B210)),(E209+E211)/2,INDEX(Regen!$A$1:$Z$123,MATCH(ROUND(B210,0),Regen!$A:$A,0),Berechnung_Versickerung!$J$9))</f>
        <v>67.502879204999999</v>
      </c>
      <c r="F210" s="37">
        <f t="shared" si="14"/>
        <v>1.7874762413484</v>
      </c>
      <c r="G210" s="37">
        <f t="shared" si="15"/>
        <v>9.4914988415600039</v>
      </c>
      <c r="H210" s="37">
        <f t="shared" si="17"/>
        <v>8.85</v>
      </c>
      <c r="I210" s="37">
        <f t="shared" si="16"/>
        <v>0.64149884156000425</v>
      </c>
      <c r="L210" s="33"/>
      <c r="M210" s="38"/>
      <c r="N210" s="37"/>
      <c r="O210" s="37"/>
      <c r="P210" s="37"/>
      <c r="Q210" s="37"/>
      <c r="R210" s="37"/>
      <c r="S210" s="37"/>
      <c r="T210" s="35"/>
      <c r="U210" s="36"/>
      <c r="V210" s="35"/>
      <c r="AE210" s="7"/>
      <c r="AH210" s="7"/>
      <c r="AN210" s="7"/>
    </row>
    <row r="211" spans="1:40">
      <c r="A211" s="7"/>
      <c r="B211" s="33">
        <f t="shared" si="18"/>
        <v>89</v>
      </c>
      <c r="C211" s="38">
        <f t="shared" si="13"/>
        <v>1.4833333333333334</v>
      </c>
      <c r="D211" s="37"/>
      <c r="E211" s="37" cm="1">
        <f t="array" ref="E211">IF(ISNUMBER(SEARCH(".5",B211)),(E210+E212)/2,INDEX(Regen!$A$1:$Z$123,MATCH(ROUND(B211,0),Regen!$A:$A,0),Berechnung_Versickerung!$J$9))</f>
        <v>67.202620390000007</v>
      </c>
      <c r="F211" s="37">
        <f t="shared" si="14"/>
        <v>1.7795253879272002</v>
      </c>
      <c r="G211" s="37">
        <f t="shared" si="15"/>
        <v>9.5026655715312476</v>
      </c>
      <c r="H211" s="37">
        <f t="shared" si="17"/>
        <v>8.9</v>
      </c>
      <c r="I211" s="37">
        <f t="shared" si="16"/>
        <v>0.60266557153124722</v>
      </c>
      <c r="L211" s="33"/>
      <c r="M211" s="38"/>
      <c r="N211" s="37"/>
      <c r="O211" s="37"/>
      <c r="P211" s="37"/>
      <c r="Q211" s="37"/>
      <c r="R211" s="37"/>
      <c r="S211" s="37"/>
      <c r="T211" s="35"/>
      <c r="U211" s="36"/>
      <c r="V211" s="35"/>
      <c r="AE211" s="7"/>
      <c r="AH211" s="7"/>
      <c r="AN211" s="7"/>
    </row>
    <row r="212" spans="1:40">
      <c r="A212" s="7"/>
      <c r="B212" s="33">
        <f t="shared" si="18"/>
        <v>89.5</v>
      </c>
      <c r="C212" s="38">
        <f t="shared" si="13"/>
        <v>1.4916666666666667</v>
      </c>
      <c r="D212" s="37"/>
      <c r="E212" s="37" cm="1">
        <f t="array" ref="E212">IF(ISNUMBER(SEARCH(".5",B212)),(E211+E213)/2,INDEX(Regen!$A$1:$Z$123,MATCH(ROUND(B212,0),Regen!$A:$A,0),Berechnung_Versickerung!$J$9))</f>
        <v>66.908535180000001</v>
      </c>
      <c r="F212" s="37">
        <f t="shared" si="14"/>
        <v>1.7717380115664001</v>
      </c>
      <c r="G212" s="37">
        <f t="shared" si="15"/>
        <v>9.5142331221115697</v>
      </c>
      <c r="H212" s="37">
        <f t="shared" si="17"/>
        <v>8.9500000000000011</v>
      </c>
      <c r="I212" s="37">
        <f t="shared" si="16"/>
        <v>0.56423312211156862</v>
      </c>
      <c r="L212" s="33"/>
      <c r="M212" s="38"/>
      <c r="N212" s="37"/>
      <c r="O212" s="37"/>
      <c r="P212" s="37"/>
      <c r="Q212" s="37"/>
      <c r="R212" s="37"/>
      <c r="S212" s="37"/>
      <c r="T212" s="35"/>
      <c r="U212" s="36"/>
      <c r="V212" s="35"/>
      <c r="AE212" s="7"/>
      <c r="AH212" s="7"/>
      <c r="AN212" s="7"/>
    </row>
    <row r="213" spans="1:40">
      <c r="A213" s="7"/>
      <c r="B213" s="33">
        <f t="shared" si="18"/>
        <v>90</v>
      </c>
      <c r="C213" s="38">
        <f t="shared" si="13"/>
        <v>1.5</v>
      </c>
      <c r="D213" s="37"/>
      <c r="E213" s="37" cm="1">
        <f t="array" ref="E213">IF(ISNUMBER(SEARCH(".5",B213)),(E212+E214)/2,INDEX(Regen!$A$1:$Z$123,MATCH(ROUND(B213,0),Regen!$A:$A,0),Berechnung_Versickerung!$J$9))</f>
        <v>66.614449969999995</v>
      </c>
      <c r="F213" s="37">
        <f t="shared" si="14"/>
        <v>1.7639506352055998</v>
      </c>
      <c r="G213" s="37">
        <f t="shared" si="15"/>
        <v>9.5253334301102388</v>
      </c>
      <c r="H213" s="37">
        <f t="shared" si="17"/>
        <v>9.0000000000000018</v>
      </c>
      <c r="I213" s="37">
        <f t="shared" si="16"/>
        <v>0.52533343011023703</v>
      </c>
      <c r="L213" s="33"/>
      <c r="M213" s="38"/>
      <c r="N213" s="37"/>
      <c r="O213" s="37"/>
      <c r="P213" s="37"/>
      <c r="Q213" s="37"/>
      <c r="R213" s="37"/>
      <c r="S213" s="37"/>
      <c r="T213" s="35"/>
      <c r="U213" s="36"/>
      <c r="V213" s="35"/>
      <c r="AE213" s="7"/>
      <c r="AH213" s="7"/>
      <c r="AN213" s="7"/>
    </row>
    <row r="214" spans="1:40">
      <c r="A214" s="7"/>
      <c r="B214" s="33">
        <f t="shared" si="18"/>
        <v>90.5</v>
      </c>
      <c r="C214" s="38">
        <f t="shared" si="13"/>
        <v>1.5083333333333333</v>
      </c>
      <c r="D214" s="37"/>
      <c r="E214" s="37" cm="1">
        <f t="array" ref="E214">IF(ISNUMBER(SEARCH(".5",B214)),(E213+E215)/2,INDEX(Regen!$A$1:$Z$123,MATCH(ROUND(B214,0),Regen!$A:$A,0),Berechnung_Versickerung!$J$9))</f>
        <v>66.326343304999995</v>
      </c>
      <c r="F214" s="37">
        <f t="shared" si="14"/>
        <v>1.7563215707163999</v>
      </c>
      <c r="G214" s="37">
        <f t="shared" si="15"/>
        <v>9.5368261289900538</v>
      </c>
      <c r="H214" s="37">
        <f t="shared" si="17"/>
        <v>9.0500000000000007</v>
      </c>
      <c r="I214" s="37">
        <f t="shared" si="16"/>
        <v>0.48682612899005306</v>
      </c>
      <c r="L214" s="33"/>
      <c r="M214" s="38"/>
      <c r="N214" s="37"/>
      <c r="O214" s="37"/>
      <c r="P214" s="37"/>
      <c r="Q214" s="37"/>
      <c r="R214" s="37"/>
      <c r="S214" s="37"/>
      <c r="T214" s="35"/>
      <c r="U214" s="36"/>
      <c r="V214" s="35"/>
      <c r="AE214" s="7"/>
      <c r="AH214" s="7"/>
      <c r="AN214" s="7"/>
    </row>
    <row r="215" spans="1:40">
      <c r="A215" s="7"/>
      <c r="B215" s="33">
        <f t="shared" si="18"/>
        <v>91</v>
      </c>
      <c r="C215" s="38">
        <f t="shared" si="13"/>
        <v>1.5166666666666666</v>
      </c>
      <c r="D215" s="37"/>
      <c r="E215" s="37" cm="1">
        <f t="array" ref="E215">IF(ISNUMBER(SEARCH(".5",B215)),(E214+E216)/2,INDEX(Regen!$A$1:$Z$123,MATCH(ROUND(B215,0),Regen!$A:$A,0),Berechnung_Versickerung!$J$9))</f>
        <v>66.038236639999994</v>
      </c>
      <c r="F215" s="37">
        <f t="shared" si="14"/>
        <v>1.7486925062271998</v>
      </c>
      <c r="G215" s="37">
        <f t="shared" si="15"/>
        <v>9.5478610840005107</v>
      </c>
      <c r="H215" s="37">
        <f t="shared" si="17"/>
        <v>9.1</v>
      </c>
      <c r="I215" s="37">
        <f t="shared" si="16"/>
        <v>0.44786108400051106</v>
      </c>
      <c r="L215" s="33"/>
      <c r="M215" s="38"/>
      <c r="N215" s="37"/>
      <c r="O215" s="37"/>
      <c r="P215" s="37"/>
      <c r="Q215" s="37"/>
      <c r="R215" s="37"/>
      <c r="S215" s="37"/>
      <c r="T215" s="35"/>
      <c r="U215" s="36"/>
      <c r="V215" s="35"/>
      <c r="AE215" s="7"/>
      <c r="AH215" s="7"/>
      <c r="AN215" s="7"/>
    </row>
    <row r="216" spans="1:40">
      <c r="A216" s="7"/>
      <c r="B216" s="33">
        <f t="shared" si="18"/>
        <v>91.5</v>
      </c>
      <c r="C216" s="38">
        <f t="shared" si="13"/>
        <v>1.5249999999999999</v>
      </c>
      <c r="D216" s="37"/>
      <c r="E216" s="37" cm="1">
        <f t="array" ref="E216">IF(ISNUMBER(SEARCH(".5",B216)),(E215+E217)/2,INDEX(Regen!$A$1:$Z$123,MATCH(ROUND(B216,0),Regen!$A:$A,0),Berechnung_Versickerung!$J$9))</f>
        <v>65.755921714999999</v>
      </c>
      <c r="F216" s="37">
        <f t="shared" si="14"/>
        <v>1.7412168070131999</v>
      </c>
      <c r="G216" s="37">
        <f t="shared" si="15"/>
        <v>9.5592802705024678</v>
      </c>
      <c r="H216" s="37">
        <f t="shared" si="17"/>
        <v>9.15</v>
      </c>
      <c r="I216" s="37">
        <f t="shared" si="16"/>
        <v>0.4092802705024674</v>
      </c>
      <c r="L216" s="33"/>
      <c r="M216" s="38"/>
      <c r="N216" s="37"/>
      <c r="O216" s="37"/>
      <c r="P216" s="37"/>
      <c r="Q216" s="37"/>
      <c r="R216" s="37"/>
      <c r="S216" s="37"/>
      <c r="T216" s="35"/>
      <c r="U216" s="36"/>
      <c r="V216" s="35"/>
      <c r="AE216" s="7"/>
      <c r="AH216" s="7"/>
      <c r="AN216" s="7"/>
    </row>
    <row r="217" spans="1:40">
      <c r="A217" s="7"/>
      <c r="B217" s="33">
        <f t="shared" si="18"/>
        <v>92</v>
      </c>
      <c r="C217" s="38">
        <f t="shared" si="13"/>
        <v>1.5333333333333334</v>
      </c>
      <c r="D217" s="37"/>
      <c r="E217" s="37" cm="1">
        <f t="array" ref="E217">IF(ISNUMBER(SEARCH(".5",B217)),(E216+E218)/2,INDEX(Regen!$A$1:$Z$123,MATCH(ROUND(B217,0),Regen!$A:$A,0),Berechnung_Versickerung!$J$9))</f>
        <v>65.473606790000005</v>
      </c>
      <c r="F217" s="37">
        <f t="shared" si="14"/>
        <v>1.7337411077992002</v>
      </c>
      <c r="G217" s="37">
        <f t="shared" si="15"/>
        <v>9.5702509150515844</v>
      </c>
      <c r="H217" s="37">
        <f t="shared" si="17"/>
        <v>9.1999999999999993</v>
      </c>
      <c r="I217" s="37">
        <f t="shared" si="16"/>
        <v>0.37025091505158514</v>
      </c>
      <c r="L217" s="33"/>
      <c r="M217" s="38"/>
      <c r="N217" s="37"/>
      <c r="O217" s="37"/>
      <c r="P217" s="37"/>
      <c r="Q217" s="37"/>
      <c r="R217" s="37"/>
      <c r="S217" s="37"/>
      <c r="T217" s="35"/>
      <c r="U217" s="36"/>
      <c r="V217" s="35"/>
      <c r="AE217" s="7"/>
      <c r="AH217" s="7"/>
      <c r="AN217" s="7"/>
    </row>
    <row r="218" spans="1:40">
      <c r="A218" s="7"/>
      <c r="B218" s="33">
        <f t="shared" si="18"/>
        <v>92.5</v>
      </c>
      <c r="C218" s="38">
        <f t="shared" si="13"/>
        <v>1.5416666666666667</v>
      </c>
      <c r="D218" s="37"/>
      <c r="E218" s="37" cm="1">
        <f t="array" ref="E218">IF(ISNUMBER(SEARCH(".5",B218)),(E217+E219)/2,INDEX(Regen!$A$1:$Z$123,MATCH(ROUND(B218,0),Regen!$A:$A,0),Berechnung_Versickerung!$J$9))</f>
        <v>65.196904610000004</v>
      </c>
      <c r="F218" s="37">
        <f t="shared" si="14"/>
        <v>1.7264140340728</v>
      </c>
      <c r="G218" s="37">
        <f t="shared" si="15"/>
        <v>9.5815978891040388</v>
      </c>
      <c r="H218" s="37">
        <f t="shared" si="17"/>
        <v>9.25</v>
      </c>
      <c r="I218" s="37">
        <f t="shared" si="16"/>
        <v>0.33159788910403876</v>
      </c>
      <c r="L218" s="33"/>
      <c r="M218" s="38"/>
      <c r="N218" s="37"/>
      <c r="O218" s="37"/>
      <c r="P218" s="37"/>
      <c r="Q218" s="37"/>
      <c r="R218" s="37"/>
      <c r="S218" s="37"/>
      <c r="T218" s="35"/>
      <c r="U218" s="36"/>
      <c r="V218" s="35"/>
      <c r="AE218" s="7"/>
      <c r="AH218" s="7"/>
      <c r="AN218" s="7"/>
    </row>
    <row r="219" spans="1:40">
      <c r="A219" s="7"/>
      <c r="B219" s="33">
        <f t="shared" si="18"/>
        <v>93</v>
      </c>
      <c r="C219" s="38">
        <f t="shared" si="13"/>
        <v>1.55</v>
      </c>
      <c r="D219" s="37"/>
      <c r="E219" s="37" cm="1">
        <f t="array" ref="E219">IF(ISNUMBER(SEARCH(".5",B219)),(E218+E220)/2,INDEX(Regen!$A$1:$Z$123,MATCH(ROUND(B219,0),Regen!$A:$A,0),Berechnung_Versickerung!$J$9))</f>
        <v>64.920202430000003</v>
      </c>
      <c r="F219" s="37">
        <f t="shared" si="14"/>
        <v>1.7190869603464001</v>
      </c>
      <c r="G219" s="37">
        <f t="shared" si="15"/>
        <v>9.5925052387329117</v>
      </c>
      <c r="H219" s="37">
        <f t="shared" si="17"/>
        <v>9.3000000000000007</v>
      </c>
      <c r="I219" s="37">
        <f t="shared" si="16"/>
        <v>0.29250523873291101</v>
      </c>
      <c r="L219" s="33"/>
      <c r="M219" s="38"/>
      <c r="N219" s="37"/>
      <c r="O219" s="37"/>
      <c r="P219" s="37"/>
      <c r="Q219" s="37"/>
      <c r="R219" s="37"/>
      <c r="S219" s="37"/>
      <c r="T219" s="35"/>
      <c r="U219" s="36"/>
      <c r="V219" s="35"/>
      <c r="AE219" s="7"/>
      <c r="AH219" s="7"/>
      <c r="AN219" s="7"/>
    </row>
    <row r="220" spans="1:40">
      <c r="A220" s="7"/>
      <c r="B220" s="33">
        <f t="shared" si="18"/>
        <v>93.5</v>
      </c>
      <c r="C220" s="38">
        <f t="shared" si="13"/>
        <v>1.5583333333333333</v>
      </c>
      <c r="D220" s="37"/>
      <c r="E220" s="37" cm="1">
        <f t="array" ref="E220">IF(ISNUMBER(SEARCH(".5",B220)),(E219+E221)/2,INDEX(Regen!$A$1:$Z$123,MATCH(ROUND(B220,0),Regen!$A:$A,0),Berechnung_Versickerung!$J$9))</f>
        <v>64.648941395000008</v>
      </c>
      <c r="F220" s="37">
        <f t="shared" si="14"/>
        <v>1.7119039681396002</v>
      </c>
      <c r="G220" s="37">
        <f t="shared" si="15"/>
        <v>9.6037812612631566</v>
      </c>
      <c r="H220" s="37">
        <f t="shared" si="17"/>
        <v>9.3500000000000014</v>
      </c>
      <c r="I220" s="37">
        <f t="shared" si="16"/>
        <v>0.25378126126315514</v>
      </c>
      <c r="L220" s="33"/>
      <c r="M220" s="38"/>
      <c r="N220" s="37"/>
      <c r="O220" s="37"/>
      <c r="P220" s="37"/>
      <c r="Q220" s="37"/>
      <c r="R220" s="37"/>
      <c r="S220" s="37"/>
      <c r="T220" s="35"/>
      <c r="U220" s="36"/>
      <c r="V220" s="35"/>
      <c r="AE220" s="7"/>
      <c r="AH220" s="7"/>
      <c r="AN220" s="7"/>
    </row>
    <row r="221" spans="1:40">
      <c r="A221" s="7"/>
      <c r="B221" s="33">
        <f t="shared" si="18"/>
        <v>94</v>
      </c>
      <c r="C221" s="38">
        <f t="shared" si="13"/>
        <v>1.5666666666666667</v>
      </c>
      <c r="D221" s="37"/>
      <c r="E221" s="37" cm="1">
        <f t="array" ref="E221">IF(ISNUMBER(SEARCH(".5",B221)),(E220+E222)/2,INDEX(Regen!$A$1:$Z$123,MATCH(ROUND(B221,0),Regen!$A:$A,0),Berechnung_Versickerung!$J$9))</f>
        <v>64.377680359999999</v>
      </c>
      <c r="F221" s="37">
        <f t="shared" si="14"/>
        <v>1.7047209759327999</v>
      </c>
      <c r="G221" s="37">
        <f t="shared" si="15"/>
        <v>9.614626304260991</v>
      </c>
      <c r="H221" s="37">
        <f t="shared" si="17"/>
        <v>9.4</v>
      </c>
      <c r="I221" s="37">
        <f t="shared" si="16"/>
        <v>0.21462630426099061</v>
      </c>
      <c r="L221" s="33"/>
      <c r="M221" s="38"/>
      <c r="N221" s="37"/>
      <c r="O221" s="37"/>
      <c r="P221" s="37"/>
      <c r="Q221" s="37"/>
      <c r="R221" s="37"/>
      <c r="S221" s="37"/>
      <c r="T221" s="35"/>
      <c r="U221" s="36"/>
      <c r="V221" s="35"/>
      <c r="AE221" s="7"/>
      <c r="AH221" s="7"/>
      <c r="AN221" s="7"/>
    </row>
    <row r="222" spans="1:40">
      <c r="A222" s="7"/>
      <c r="B222" s="33">
        <f t="shared" si="18"/>
        <v>94.5</v>
      </c>
      <c r="C222" s="38">
        <f t="shared" si="13"/>
        <v>1.575</v>
      </c>
      <c r="D222" s="37"/>
      <c r="E222" s="37" cm="1">
        <f t="array" ref="E222">IF(ISNUMBER(SEARCH(".5",B222)),(E221+E223)/2,INDEX(Regen!$A$1:$Z$123,MATCH(ROUND(B222,0),Regen!$A:$A,0),Berechnung_Versickerung!$J$9))</f>
        <v>64.111695900000001</v>
      </c>
      <c r="F222" s="37">
        <f t="shared" si="14"/>
        <v>1.697677707432</v>
      </c>
      <c r="G222" s="37">
        <f t="shared" si="15"/>
        <v>9.6258326011394395</v>
      </c>
      <c r="H222" s="37">
        <f t="shared" si="17"/>
        <v>9.4500000000000011</v>
      </c>
      <c r="I222" s="37">
        <f t="shared" si="16"/>
        <v>0.17583260113943844</v>
      </c>
      <c r="L222" s="33"/>
      <c r="M222" s="38"/>
      <c r="N222" s="37"/>
      <c r="O222" s="37"/>
      <c r="P222" s="37"/>
      <c r="Q222" s="37"/>
      <c r="R222" s="37"/>
      <c r="S222" s="37"/>
      <c r="T222" s="35"/>
      <c r="U222" s="36"/>
      <c r="V222" s="35"/>
      <c r="AE222" s="7"/>
      <c r="AH222" s="7"/>
      <c r="AN222" s="7"/>
    </row>
    <row r="223" spans="1:40">
      <c r="A223" s="7"/>
      <c r="B223" s="33">
        <f t="shared" si="18"/>
        <v>95</v>
      </c>
      <c r="C223" s="38">
        <f t="shared" si="13"/>
        <v>1.5833333333333333</v>
      </c>
      <c r="D223" s="37"/>
      <c r="E223" s="37" cm="1">
        <f t="array" ref="E223">IF(ISNUMBER(SEARCH(".5",B223)),(E222+E224)/2,INDEX(Regen!$A$1:$Z$123,MATCH(ROUND(B223,0),Regen!$A:$A,0),Berechnung_Versickerung!$J$9))</f>
        <v>63.845711440000002</v>
      </c>
      <c r="F223" s="37">
        <f t="shared" si="14"/>
        <v>1.6906344389312</v>
      </c>
      <c r="G223" s="37">
        <f t="shared" si="15"/>
        <v>9.636616301907841</v>
      </c>
      <c r="H223" s="37">
        <f t="shared" si="17"/>
        <v>9.5</v>
      </c>
      <c r="I223" s="37">
        <f t="shared" si="16"/>
        <v>0.13661630190784102</v>
      </c>
      <c r="L223" s="33"/>
      <c r="M223" s="38"/>
      <c r="N223" s="37"/>
      <c r="O223" s="37"/>
      <c r="P223" s="37"/>
      <c r="Q223" s="37"/>
      <c r="R223" s="37"/>
      <c r="S223" s="37"/>
      <c r="T223" s="35"/>
      <c r="U223" s="36"/>
      <c r="V223" s="35"/>
      <c r="AE223" s="7"/>
      <c r="AH223" s="7"/>
      <c r="AN223" s="7"/>
    </row>
    <row r="224" spans="1:40">
      <c r="A224" s="7"/>
      <c r="B224" s="33">
        <f t="shared" si="18"/>
        <v>95.5</v>
      </c>
      <c r="C224" s="38">
        <f t="shared" si="13"/>
        <v>1.5916666666666666</v>
      </c>
      <c r="D224" s="37"/>
      <c r="E224" s="37" cm="1">
        <f t="array" ref="E224">IF(ISNUMBER(SEARCH(".5",B224)),(E223+E225)/2,INDEX(Regen!$A$1:$Z$123,MATCH(ROUND(B224,0),Regen!$A:$A,0),Berechnung_Versickerung!$J$9))</f>
        <v>63.584845665000003</v>
      </c>
      <c r="F224" s="37">
        <f t="shared" si="14"/>
        <v>1.6837267132092</v>
      </c>
      <c r="G224" s="37">
        <f t="shared" si="15"/>
        <v>9.6477540666887158</v>
      </c>
      <c r="H224" s="37">
        <f t="shared" si="17"/>
        <v>9.5500000000000007</v>
      </c>
      <c r="I224" s="37">
        <f t="shared" si="16"/>
        <v>9.7754066688715113E-2</v>
      </c>
      <c r="L224" s="33"/>
      <c r="M224" s="38"/>
      <c r="N224" s="37"/>
      <c r="O224" s="37"/>
      <c r="P224" s="37"/>
      <c r="Q224" s="37"/>
      <c r="R224" s="37"/>
      <c r="S224" s="37"/>
      <c r="T224" s="35"/>
      <c r="U224" s="36"/>
      <c r="V224" s="35"/>
      <c r="AE224" s="7"/>
      <c r="AH224" s="7"/>
      <c r="AN224" s="7"/>
    </row>
    <row r="225" spans="1:40">
      <c r="A225" s="7"/>
      <c r="B225" s="33">
        <f t="shared" si="18"/>
        <v>96</v>
      </c>
      <c r="C225" s="38">
        <f t="shared" ref="C225:C273" si="19">B225/60</f>
        <v>1.6</v>
      </c>
      <c r="D225" s="37"/>
      <c r="E225" s="37" cm="1">
        <f t="array" ref="E225">IF(ISNUMBER(SEARCH(".5",B225)),(E224+E226)/2,INDEX(Regen!$A$1:$Z$123,MATCH(ROUND(B225,0),Regen!$A:$A,0),Berechnung_Versickerung!$J$9))</f>
        <v>63.323979889999997</v>
      </c>
      <c r="F225" s="37">
        <f t="shared" ref="F225:F273" si="20">E225*$B$12</f>
        <v>1.6768189874871999</v>
      </c>
      <c r="G225" s="37">
        <f t="shared" ref="G225:G273" si="21">F225*60*B225/1000</f>
        <v>9.6584773679262721</v>
      </c>
      <c r="H225" s="37">
        <f t="shared" si="17"/>
        <v>9.6</v>
      </c>
      <c r="I225" s="37">
        <f t="shared" ref="I225:I273" si="22">G225-H225</f>
        <v>5.847736792627245E-2</v>
      </c>
      <c r="L225" s="33"/>
      <c r="M225" s="38"/>
      <c r="N225" s="37"/>
      <c r="O225" s="37"/>
      <c r="P225" s="37"/>
      <c r="Q225" s="37"/>
      <c r="R225" s="37"/>
      <c r="S225" s="37"/>
      <c r="T225" s="35"/>
      <c r="U225" s="36"/>
      <c r="V225" s="35"/>
      <c r="AE225" s="7"/>
      <c r="AH225" s="7"/>
      <c r="AN225" s="7"/>
    </row>
    <row r="226" spans="1:40">
      <c r="A226" s="7"/>
      <c r="B226" s="33">
        <f t="shared" si="18"/>
        <v>96.5</v>
      </c>
      <c r="C226" s="38">
        <f t="shared" si="19"/>
        <v>1.6083333333333334</v>
      </c>
      <c r="D226" s="37"/>
      <c r="E226" s="37" cm="1">
        <f t="array" ref="E226">IF(ISNUMBER(SEARCH(".5",B226)),(E225+E227)/2,INDEX(Regen!$A$1:$Z$123,MATCH(ROUND(B226,0),Regen!$A:$A,0),Berechnung_Versickerung!$J$9))</f>
        <v>63.068081210000003</v>
      </c>
      <c r="F226" s="37">
        <f t="shared" si="20"/>
        <v>1.6700427904408002</v>
      </c>
      <c r="G226" s="37">
        <f t="shared" si="21"/>
        <v>9.6695477566522339</v>
      </c>
      <c r="H226" s="37">
        <f t="shared" ref="H226:H273" si="23">B226*60/1000*$B$19</f>
        <v>9.65</v>
      </c>
      <c r="I226" s="37">
        <f t="shared" si="22"/>
        <v>1.9547756652233517E-2</v>
      </c>
      <c r="L226" s="33"/>
      <c r="M226" s="38"/>
      <c r="N226" s="37"/>
      <c r="O226" s="37"/>
      <c r="P226" s="37"/>
      <c r="Q226" s="37"/>
      <c r="R226" s="37"/>
      <c r="S226" s="37"/>
      <c r="T226" s="35"/>
      <c r="U226" s="36"/>
      <c r="V226" s="35"/>
      <c r="AE226" s="7"/>
      <c r="AH226" s="7"/>
      <c r="AN226" s="7"/>
    </row>
    <row r="227" spans="1:40">
      <c r="A227" s="7"/>
      <c r="B227" s="33">
        <f t="shared" si="18"/>
        <v>97</v>
      </c>
      <c r="C227" s="38">
        <f t="shared" si="19"/>
        <v>1.6166666666666667</v>
      </c>
      <c r="D227" s="37"/>
      <c r="E227" s="37" cm="1">
        <f t="array" ref="E227">IF(ISNUMBER(SEARCH(".5",B227)),(E226+E228)/2,INDEX(Regen!$A$1:$Z$123,MATCH(ROUND(B227,0),Regen!$A:$A,0),Berechnung_Versickerung!$J$9))</f>
        <v>62.812182530000001</v>
      </c>
      <c r="F227" s="37">
        <f t="shared" si="20"/>
        <v>1.6632665933944</v>
      </c>
      <c r="G227" s="37">
        <f t="shared" si="21"/>
        <v>9.6802115735554075</v>
      </c>
      <c r="H227" s="37">
        <f t="shared" si="23"/>
        <v>9.7000000000000011</v>
      </c>
      <c r="I227" s="37">
        <f t="shared" si="22"/>
        <v>-1.9788426444593554E-2</v>
      </c>
      <c r="L227" s="33"/>
      <c r="M227" s="38"/>
      <c r="N227" s="37"/>
      <c r="O227" s="37"/>
      <c r="P227" s="37"/>
      <c r="Q227" s="37"/>
      <c r="R227" s="37"/>
      <c r="S227" s="37"/>
      <c r="T227" s="35"/>
      <c r="U227" s="36"/>
      <c r="V227" s="35"/>
      <c r="AE227" s="7"/>
      <c r="AH227" s="7"/>
      <c r="AN227" s="7"/>
    </row>
    <row r="228" spans="1:40">
      <c r="A228" s="7"/>
      <c r="B228" s="33">
        <f t="shared" ref="B228:B273" si="24">+B227+0.5</f>
        <v>97.5</v>
      </c>
      <c r="C228" s="38">
        <f t="shared" si="19"/>
        <v>1.625</v>
      </c>
      <c r="D228" s="37"/>
      <c r="E228" s="37" cm="1">
        <f t="array" ref="E228">IF(ISNUMBER(SEARCH(".5",B228)),(E227+E229)/2,INDEX(Regen!$A$1:$Z$123,MATCH(ROUND(B228,0),Regen!$A:$A,0),Berechnung_Versickerung!$J$9))</f>
        <v>62.561105394999998</v>
      </c>
      <c r="F228" s="37">
        <f t="shared" si="20"/>
        <v>1.6566180708595999</v>
      </c>
      <c r="G228" s="37">
        <f t="shared" si="21"/>
        <v>9.6912157145286582</v>
      </c>
      <c r="H228" s="37">
        <f t="shared" si="23"/>
        <v>9.75</v>
      </c>
      <c r="I228" s="37">
        <f t="shared" si="22"/>
        <v>-5.8784285471341846E-2</v>
      </c>
      <c r="L228" s="33"/>
      <c r="M228" s="38"/>
      <c r="N228" s="37"/>
      <c r="O228" s="37"/>
      <c r="P228" s="37"/>
      <c r="Q228" s="37"/>
      <c r="R228" s="37"/>
      <c r="S228" s="37"/>
      <c r="T228" s="35"/>
      <c r="U228" s="36"/>
      <c r="V228" s="35"/>
      <c r="AE228" s="7"/>
      <c r="AH228" s="7"/>
      <c r="AN228" s="7"/>
    </row>
    <row r="229" spans="1:40">
      <c r="A229" s="7"/>
      <c r="B229" s="33">
        <f t="shared" si="24"/>
        <v>98</v>
      </c>
      <c r="C229" s="38">
        <f t="shared" si="19"/>
        <v>1.6333333333333333</v>
      </c>
      <c r="D229" s="37"/>
      <c r="E229" s="37" cm="1">
        <f t="array" ref="E229">IF(ISNUMBER(SEARCH(".5",B229)),(E228+E230)/2,INDEX(Regen!$A$1:$Z$123,MATCH(ROUND(B229,0),Regen!$A:$A,0),Berechnung_Versickerung!$J$9))</f>
        <v>62.310028260000003</v>
      </c>
      <c r="F229" s="37">
        <f t="shared" si="20"/>
        <v>1.6499695483248</v>
      </c>
      <c r="G229" s="37">
        <f t="shared" si="21"/>
        <v>9.7018209441498247</v>
      </c>
      <c r="H229" s="37">
        <f t="shared" si="23"/>
        <v>9.8000000000000007</v>
      </c>
      <c r="I229" s="37">
        <f t="shared" si="22"/>
        <v>-9.8179055850176056E-2</v>
      </c>
      <c r="L229" s="33"/>
      <c r="M229" s="38"/>
      <c r="N229" s="37"/>
      <c r="O229" s="37"/>
      <c r="P229" s="37"/>
      <c r="Q229" s="37"/>
      <c r="R229" s="37"/>
      <c r="S229" s="37"/>
      <c r="T229" s="35"/>
      <c r="U229" s="36"/>
      <c r="V229" s="35"/>
      <c r="AE229" s="7"/>
      <c r="AH229" s="7"/>
      <c r="AN229" s="7"/>
    </row>
    <row r="230" spans="1:40">
      <c r="A230" s="7"/>
      <c r="B230" s="33">
        <f t="shared" si="24"/>
        <v>98.5</v>
      </c>
      <c r="C230" s="38">
        <f t="shared" si="19"/>
        <v>1.6416666666666666</v>
      </c>
      <c r="D230" s="37"/>
      <c r="E230" s="37" cm="1">
        <f t="array" ref="E230">IF(ISNUMBER(SEARCH(".5",B230)),(E229+E231)/2,INDEX(Regen!$A$1:$Z$123,MATCH(ROUND(B230,0),Regen!$A:$A,0),Berechnung_Versickerung!$J$9))</f>
        <v>62.063632820000002</v>
      </c>
      <c r="F230" s="37">
        <f t="shared" si="20"/>
        <v>1.6434449970736</v>
      </c>
      <c r="G230" s="37">
        <f t="shared" si="21"/>
        <v>9.7127599327049765</v>
      </c>
      <c r="H230" s="37">
        <f t="shared" si="23"/>
        <v>9.8500000000000014</v>
      </c>
      <c r="I230" s="37">
        <f t="shared" si="22"/>
        <v>-0.13724006729502491</v>
      </c>
      <c r="L230" s="33"/>
      <c r="M230" s="38"/>
      <c r="N230" s="37"/>
      <c r="O230" s="37"/>
      <c r="P230" s="37"/>
      <c r="Q230" s="37"/>
      <c r="R230" s="37"/>
      <c r="S230" s="37"/>
      <c r="T230" s="35"/>
      <c r="U230" s="36"/>
      <c r="V230" s="35"/>
      <c r="AE230" s="7"/>
      <c r="AH230" s="7"/>
      <c r="AN230" s="7"/>
    </row>
    <row r="231" spans="1:40">
      <c r="A231" s="7"/>
      <c r="B231" s="33">
        <f t="shared" si="24"/>
        <v>99</v>
      </c>
      <c r="C231" s="38">
        <f t="shared" si="19"/>
        <v>1.65</v>
      </c>
      <c r="D231" s="37"/>
      <c r="E231" s="37" cm="1">
        <f t="array" ref="E231">IF(ISNUMBER(SEARCH(".5",B231)),(E230+E232)/2,INDEX(Regen!$A$1:$Z$123,MATCH(ROUND(B231,0),Regen!$A:$A,0),Berechnung_Versickerung!$J$9))</f>
        <v>61.817237380000002</v>
      </c>
      <c r="F231" s="37">
        <f t="shared" si="20"/>
        <v>1.6369204458224</v>
      </c>
      <c r="G231" s="37">
        <f t="shared" si="21"/>
        <v>9.7233074481850554</v>
      </c>
      <c r="H231" s="37">
        <f t="shared" si="23"/>
        <v>9.9</v>
      </c>
      <c r="I231" s="37">
        <f t="shared" si="22"/>
        <v>-0.17669255181494492</v>
      </c>
      <c r="L231" s="33"/>
      <c r="M231" s="38"/>
      <c r="N231" s="37"/>
      <c r="O231" s="37"/>
      <c r="P231" s="37"/>
      <c r="Q231" s="37"/>
      <c r="R231" s="37"/>
      <c r="S231" s="37"/>
      <c r="T231" s="35"/>
      <c r="U231" s="36"/>
      <c r="V231" s="35"/>
      <c r="AE231" s="7"/>
      <c r="AH231" s="7"/>
      <c r="AN231" s="7"/>
    </row>
    <row r="232" spans="1:40">
      <c r="A232" s="7"/>
      <c r="B232" s="33">
        <f t="shared" si="24"/>
        <v>99.5</v>
      </c>
      <c r="C232" s="38">
        <f t="shared" si="19"/>
        <v>1.6583333333333334</v>
      </c>
      <c r="D232" s="37"/>
      <c r="E232" s="37" cm="1">
        <f t="array" ref="E232">IF(ISNUMBER(SEARCH(".5",B232)),(E231+E233)/2,INDEX(Regen!$A$1:$Z$123,MATCH(ROUND(B232,0),Regen!$A:$A,0),Berechnung_Versickerung!$J$9))</f>
        <v>61.575389215000001</v>
      </c>
      <c r="F232" s="37">
        <f t="shared" si="20"/>
        <v>1.6305163064132</v>
      </c>
      <c r="G232" s="37">
        <f t="shared" si="21"/>
        <v>9.7341823492868045</v>
      </c>
      <c r="H232" s="37">
        <f t="shared" si="23"/>
        <v>9.9499999999999993</v>
      </c>
      <c r="I232" s="37">
        <f t="shared" si="22"/>
        <v>-0.21581765071319481</v>
      </c>
      <c r="L232" s="33"/>
      <c r="M232" s="38"/>
      <c r="N232" s="37"/>
      <c r="O232" s="37"/>
      <c r="P232" s="37"/>
      <c r="Q232" s="37"/>
      <c r="R232" s="37"/>
      <c r="S232" s="37"/>
      <c r="T232" s="35"/>
      <c r="U232" s="36"/>
      <c r="V232" s="35"/>
      <c r="AE232" s="7"/>
      <c r="AH232" s="7"/>
      <c r="AN232" s="7"/>
    </row>
    <row r="233" spans="1:40">
      <c r="A233" s="7"/>
      <c r="B233" s="33">
        <f t="shared" si="24"/>
        <v>100</v>
      </c>
      <c r="C233" s="38">
        <f t="shared" si="19"/>
        <v>1.6666666666666667</v>
      </c>
      <c r="D233" s="37"/>
      <c r="E233" s="37" cm="1">
        <f t="array" ref="E233">IF(ISNUMBER(SEARCH(".5",B233)),(E232+E234)/2,INDEX(Regen!$A$1:$Z$123,MATCH(ROUND(B233,0),Regen!$A:$A,0),Berechnung_Versickerung!$J$9))</f>
        <v>61.333541050000001</v>
      </c>
      <c r="F233" s="37">
        <f t="shared" si="20"/>
        <v>1.624112167004</v>
      </c>
      <c r="G233" s="37">
        <f t="shared" si="21"/>
        <v>9.7446730020239993</v>
      </c>
      <c r="H233" s="37">
        <f t="shared" si="23"/>
        <v>10</v>
      </c>
      <c r="I233" s="37">
        <f t="shared" si="22"/>
        <v>-0.25532699797600067</v>
      </c>
      <c r="L233" s="33"/>
      <c r="M233" s="38"/>
      <c r="N233" s="37"/>
      <c r="O233" s="37"/>
      <c r="P233" s="37"/>
      <c r="Q233" s="37"/>
      <c r="R233" s="37"/>
      <c r="S233" s="37"/>
      <c r="T233" s="35"/>
      <c r="U233" s="36"/>
      <c r="V233" s="35"/>
      <c r="AE233" s="7"/>
      <c r="AH233" s="7"/>
      <c r="AN233" s="7"/>
    </row>
    <row r="234" spans="1:40">
      <c r="A234" s="7"/>
      <c r="B234" s="33">
        <f t="shared" si="24"/>
        <v>100.5</v>
      </c>
      <c r="C234" s="38">
        <f t="shared" si="19"/>
        <v>1.675</v>
      </c>
      <c r="D234" s="37"/>
      <c r="E234" s="37" cm="1">
        <f t="array" ref="E234">IF(ISNUMBER(SEARCH(".5",B234)),(E233+E235)/2,INDEX(Regen!$A$1:$Z$123,MATCH(ROUND(B234,0),Regen!$A:$A,0),Berechnung_Versickerung!$J$9))</f>
        <v>61.096110925000005</v>
      </c>
      <c r="F234" s="37">
        <f t="shared" si="20"/>
        <v>1.6178250172940001</v>
      </c>
      <c r="G234" s="37">
        <f t="shared" si="21"/>
        <v>9.7554848542828196</v>
      </c>
      <c r="H234" s="37">
        <f t="shared" si="23"/>
        <v>10.050000000000001</v>
      </c>
      <c r="I234" s="37">
        <f t="shared" si="22"/>
        <v>-0.29451514571718107</v>
      </c>
      <c r="L234" s="33"/>
      <c r="M234" s="38"/>
      <c r="N234" s="37"/>
      <c r="O234" s="37"/>
      <c r="P234" s="37"/>
      <c r="Q234" s="37"/>
      <c r="R234" s="37"/>
      <c r="S234" s="37"/>
      <c r="T234" s="35"/>
      <c r="U234" s="36"/>
      <c r="V234" s="35"/>
      <c r="AE234" s="7"/>
      <c r="AH234" s="7"/>
      <c r="AN234" s="7"/>
    </row>
    <row r="235" spans="1:40">
      <c r="A235" s="7"/>
      <c r="B235" s="33">
        <f t="shared" si="24"/>
        <v>101</v>
      </c>
      <c r="C235" s="38">
        <f t="shared" si="19"/>
        <v>1.6833333333333333</v>
      </c>
      <c r="D235" s="37"/>
      <c r="E235" s="37" cm="1">
        <f t="array" ref="E235">IF(ISNUMBER(SEARCH(".5",B235)),(E234+E236)/2,INDEX(Regen!$A$1:$Z$123,MATCH(ROUND(B235,0),Regen!$A:$A,0),Berechnung_Versickerung!$J$9))</f>
        <v>60.858680800000002</v>
      </c>
      <c r="F235" s="37">
        <f t="shared" si="20"/>
        <v>1.611537867584</v>
      </c>
      <c r="G235" s="37">
        <f t="shared" si="21"/>
        <v>9.7659194775590379</v>
      </c>
      <c r="H235" s="37">
        <f t="shared" si="23"/>
        <v>10.1</v>
      </c>
      <c r="I235" s="37">
        <f t="shared" si="22"/>
        <v>-0.33408052244096176</v>
      </c>
      <c r="L235" s="33"/>
      <c r="M235" s="38"/>
      <c r="N235" s="37"/>
      <c r="O235" s="37"/>
      <c r="P235" s="37"/>
      <c r="Q235" s="37"/>
      <c r="R235" s="37"/>
      <c r="S235" s="37"/>
      <c r="T235" s="35"/>
      <c r="U235" s="36"/>
      <c r="V235" s="35"/>
      <c r="AE235" s="7"/>
      <c r="AH235" s="7"/>
      <c r="AN235" s="7"/>
    </row>
    <row r="236" spans="1:40">
      <c r="A236" s="7"/>
      <c r="B236" s="33">
        <f t="shared" si="24"/>
        <v>101.5</v>
      </c>
      <c r="C236" s="38">
        <f t="shared" si="19"/>
        <v>1.6916666666666667</v>
      </c>
      <c r="D236" s="37"/>
      <c r="E236" s="37" cm="1">
        <f t="array" ref="E236">IF(ISNUMBER(SEARCH(".5",B236)),(E235+E237)/2,INDEX(Regen!$A$1:$Z$123,MATCH(ROUND(B236,0),Regen!$A:$A,0),Berechnung_Versickerung!$J$9))</f>
        <v>60.625544400000003</v>
      </c>
      <c r="F236" s="37">
        <f t="shared" si="20"/>
        <v>1.6053644157120002</v>
      </c>
      <c r="G236" s="37">
        <f t="shared" si="21"/>
        <v>9.7766692916860816</v>
      </c>
      <c r="H236" s="37">
        <f t="shared" si="23"/>
        <v>10.15</v>
      </c>
      <c r="I236" s="37">
        <f t="shared" si="22"/>
        <v>-0.37333070831391879</v>
      </c>
      <c r="L236" s="33"/>
      <c r="M236" s="38"/>
      <c r="N236" s="37"/>
      <c r="O236" s="37"/>
      <c r="P236" s="37"/>
      <c r="Q236" s="37"/>
      <c r="R236" s="37"/>
      <c r="S236" s="37"/>
      <c r="T236" s="35"/>
      <c r="U236" s="36"/>
      <c r="V236" s="35"/>
      <c r="AE236" s="7"/>
      <c r="AH236" s="7"/>
      <c r="AN236" s="7"/>
    </row>
    <row r="237" spans="1:40">
      <c r="A237" s="7"/>
      <c r="B237" s="33">
        <f t="shared" si="24"/>
        <v>102</v>
      </c>
      <c r="C237" s="38">
        <f t="shared" si="19"/>
        <v>1.7</v>
      </c>
      <c r="D237" s="37"/>
      <c r="E237" s="37" cm="1">
        <f t="array" ref="E237">IF(ISNUMBER(SEARCH(".5",B237)),(E236+E238)/2,INDEX(Regen!$A$1:$Z$123,MATCH(ROUND(B237,0),Regen!$A:$A,0),Berechnung_Versickerung!$J$9))</f>
        <v>60.392408000000003</v>
      </c>
      <c r="F237" s="37">
        <f t="shared" si="20"/>
        <v>1.5991909638400001</v>
      </c>
      <c r="G237" s="37">
        <f t="shared" si="21"/>
        <v>9.7870486987008007</v>
      </c>
      <c r="H237" s="37">
        <f t="shared" si="23"/>
        <v>10.200000000000001</v>
      </c>
      <c r="I237" s="37">
        <f t="shared" si="22"/>
        <v>-0.41295130129920032</v>
      </c>
      <c r="L237" s="33"/>
      <c r="M237" s="38"/>
      <c r="N237" s="37"/>
      <c r="O237" s="37"/>
      <c r="P237" s="37"/>
      <c r="Q237" s="37"/>
      <c r="R237" s="37"/>
      <c r="S237" s="37"/>
      <c r="T237" s="35"/>
      <c r="U237" s="36"/>
      <c r="V237" s="35"/>
      <c r="AE237" s="7"/>
      <c r="AH237" s="7"/>
      <c r="AN237" s="7"/>
    </row>
    <row r="238" spans="1:40">
      <c r="A238" s="7"/>
      <c r="B238" s="33">
        <f t="shared" si="24"/>
        <v>102.5</v>
      </c>
      <c r="C238" s="38">
        <f t="shared" si="19"/>
        <v>1.7083333333333333</v>
      </c>
      <c r="D238" s="37"/>
      <c r="E238" s="37" cm="1">
        <f t="array" ref="E238">IF(ISNUMBER(SEARCH(".5",B238)),(E237+E239)/2,INDEX(Regen!$A$1:$Z$123,MATCH(ROUND(B238,0),Regen!$A:$A,0),Berechnung_Versickerung!$J$9))</f>
        <v>60.163445695</v>
      </c>
      <c r="F238" s="37">
        <f t="shared" si="20"/>
        <v>1.5931280420036</v>
      </c>
      <c r="G238" s="37">
        <f t="shared" si="21"/>
        <v>9.7977374583221408</v>
      </c>
      <c r="H238" s="37">
        <f t="shared" si="23"/>
        <v>10.250000000000002</v>
      </c>
      <c r="I238" s="37">
        <f t="shared" si="22"/>
        <v>-0.45226254167786095</v>
      </c>
      <c r="L238" s="33"/>
      <c r="M238" s="38"/>
      <c r="N238" s="37"/>
      <c r="O238" s="37"/>
      <c r="P238" s="37"/>
      <c r="Q238" s="37"/>
      <c r="R238" s="37"/>
      <c r="S238" s="37"/>
      <c r="T238" s="35"/>
      <c r="U238" s="36"/>
      <c r="V238" s="35"/>
      <c r="AE238" s="7"/>
      <c r="AH238" s="7"/>
      <c r="AN238" s="7"/>
    </row>
    <row r="239" spans="1:40">
      <c r="A239" s="7"/>
      <c r="B239" s="33">
        <f t="shared" si="24"/>
        <v>103</v>
      </c>
      <c r="C239" s="38">
        <f t="shared" si="19"/>
        <v>1.7166666666666666</v>
      </c>
      <c r="D239" s="37"/>
      <c r="E239" s="37" cm="1">
        <f t="array" ref="E239">IF(ISNUMBER(SEARCH(".5",B239)),(E238+E240)/2,INDEX(Regen!$A$1:$Z$123,MATCH(ROUND(B239,0),Regen!$A:$A,0),Berechnung_Versickerung!$J$9))</f>
        <v>59.934483389999997</v>
      </c>
      <c r="F239" s="37">
        <f t="shared" si="20"/>
        <v>1.5870651201671999</v>
      </c>
      <c r="G239" s="37">
        <f t="shared" si="21"/>
        <v>9.8080624426332967</v>
      </c>
      <c r="H239" s="37">
        <f t="shared" si="23"/>
        <v>10.3</v>
      </c>
      <c r="I239" s="37">
        <f t="shared" si="22"/>
        <v>-0.49193755736670397</v>
      </c>
      <c r="L239" s="33"/>
      <c r="M239" s="38"/>
      <c r="N239" s="37"/>
      <c r="O239" s="37"/>
      <c r="P239" s="37"/>
      <c r="Q239" s="37"/>
      <c r="R239" s="37"/>
      <c r="S239" s="37"/>
      <c r="T239" s="35"/>
      <c r="U239" s="36"/>
      <c r="V239" s="35"/>
      <c r="AE239" s="7"/>
      <c r="AH239" s="7"/>
      <c r="AN239" s="7"/>
    </row>
    <row r="240" spans="1:40">
      <c r="A240" s="7"/>
      <c r="B240" s="33">
        <f t="shared" si="24"/>
        <v>103.5</v>
      </c>
      <c r="C240" s="38">
        <f t="shared" si="19"/>
        <v>1.7250000000000001</v>
      </c>
      <c r="D240" s="37"/>
      <c r="E240" s="37" cm="1">
        <f t="array" ref="E240">IF(ISNUMBER(SEARCH(".5",B240)),(E239+E241)/2,INDEX(Regen!$A$1:$Z$123,MATCH(ROUND(B240,0),Regen!$A:$A,0),Berechnung_Versickerung!$J$9))</f>
        <v>59.709580019999997</v>
      </c>
      <c r="F240" s="37">
        <f t="shared" si="20"/>
        <v>1.5811096789296</v>
      </c>
      <c r="G240" s="37">
        <f t="shared" si="21"/>
        <v>9.8186911061528157</v>
      </c>
      <c r="H240" s="37">
        <f t="shared" si="23"/>
        <v>10.35</v>
      </c>
      <c r="I240" s="37">
        <f t="shared" si="22"/>
        <v>-0.53130889384718394</v>
      </c>
      <c r="L240" s="33"/>
      <c r="M240" s="38"/>
      <c r="N240" s="37"/>
      <c r="O240" s="37"/>
      <c r="P240" s="37"/>
      <c r="Q240" s="37"/>
      <c r="R240" s="37"/>
      <c r="S240" s="37"/>
      <c r="T240" s="35"/>
      <c r="U240" s="36"/>
      <c r="V240" s="35"/>
      <c r="AE240" s="7"/>
      <c r="AH240" s="7"/>
      <c r="AN240" s="7"/>
    </row>
    <row r="241" spans="1:40">
      <c r="A241" s="7"/>
      <c r="B241" s="33">
        <f t="shared" si="24"/>
        <v>104</v>
      </c>
      <c r="C241" s="38">
        <f t="shared" si="19"/>
        <v>1.7333333333333334</v>
      </c>
      <c r="D241" s="37"/>
      <c r="E241" s="37" cm="1">
        <f t="array" ref="E241">IF(ISNUMBER(SEARCH(".5",B241)),(E240+E242)/2,INDEX(Regen!$A$1:$Z$123,MATCH(ROUND(B241,0),Regen!$A:$A,0),Berechnung_Versickerung!$J$9))</f>
        <v>59.484676649999997</v>
      </c>
      <c r="F241" s="37">
        <f t="shared" si="20"/>
        <v>1.575154237692</v>
      </c>
      <c r="G241" s="37">
        <f t="shared" si="21"/>
        <v>9.8289624431980798</v>
      </c>
      <c r="H241" s="37">
        <f t="shared" si="23"/>
        <v>10.4</v>
      </c>
      <c r="I241" s="37">
        <f t="shared" si="22"/>
        <v>-0.57103755680192059</v>
      </c>
      <c r="L241" s="33"/>
      <c r="M241" s="38"/>
      <c r="N241" s="37"/>
      <c r="O241" s="37"/>
      <c r="P241" s="37"/>
      <c r="Q241" s="37"/>
      <c r="R241" s="37"/>
      <c r="S241" s="37"/>
      <c r="T241" s="35"/>
      <c r="U241" s="36"/>
      <c r="V241" s="35"/>
      <c r="AE241" s="7"/>
      <c r="AH241" s="7"/>
      <c r="AN241" s="7"/>
    </row>
    <row r="242" spans="1:40">
      <c r="A242" s="7"/>
      <c r="B242" s="33">
        <f t="shared" si="24"/>
        <v>104.5</v>
      </c>
      <c r="C242" s="38">
        <f t="shared" si="19"/>
        <v>1.7416666666666667</v>
      </c>
      <c r="D242" s="37"/>
      <c r="E242" s="37" cm="1">
        <f t="array" ref="E242">IF(ISNUMBER(SEARCH(".5",B242)),(E241+E243)/2,INDEX(Regen!$A$1:$Z$123,MATCH(ROUND(B242,0),Regen!$A:$A,0),Berechnung_Versickerung!$J$9))</f>
        <v>59.263721309999994</v>
      </c>
      <c r="F242" s="37">
        <f t="shared" si="20"/>
        <v>1.5693033402887999</v>
      </c>
      <c r="G242" s="37">
        <f t="shared" si="21"/>
        <v>9.8395319436107744</v>
      </c>
      <c r="H242" s="37">
        <f t="shared" si="23"/>
        <v>10.45</v>
      </c>
      <c r="I242" s="37">
        <f t="shared" si="22"/>
        <v>-0.61046805638922486</v>
      </c>
      <c r="L242" s="33"/>
      <c r="M242" s="38"/>
      <c r="N242" s="37"/>
      <c r="O242" s="37"/>
      <c r="P242" s="37"/>
      <c r="Q242" s="37"/>
      <c r="R242" s="37"/>
      <c r="S242" s="37"/>
      <c r="T242" s="35"/>
      <c r="U242" s="36"/>
      <c r="V242" s="35"/>
      <c r="AE242" s="7"/>
      <c r="AH242" s="7"/>
      <c r="AN242" s="7"/>
    </row>
    <row r="243" spans="1:40">
      <c r="A243" s="7"/>
      <c r="B243" s="33">
        <f t="shared" si="24"/>
        <v>105</v>
      </c>
      <c r="C243" s="38">
        <f t="shared" si="19"/>
        <v>1.75</v>
      </c>
      <c r="D243" s="37"/>
      <c r="E243" s="37" cm="1">
        <f t="array" ref="E243">IF(ISNUMBER(SEARCH(".5",B243)),(E242+E244)/2,INDEX(Regen!$A$1:$Z$123,MATCH(ROUND(B243,0),Regen!$A:$A,0),Berechnung_Versickerung!$J$9))</f>
        <v>59.042765969999998</v>
      </c>
      <c r="F243" s="37">
        <f t="shared" si="20"/>
        <v>1.5634524428856</v>
      </c>
      <c r="G243" s="37">
        <f t="shared" si="21"/>
        <v>9.8497503901792811</v>
      </c>
      <c r="H243" s="37">
        <f t="shared" si="23"/>
        <v>10.5</v>
      </c>
      <c r="I243" s="37">
        <f t="shared" si="22"/>
        <v>-0.65024960982071889</v>
      </c>
      <c r="L243" s="33"/>
      <c r="M243" s="38"/>
      <c r="N243" s="37"/>
      <c r="O243" s="37"/>
      <c r="P243" s="37"/>
      <c r="Q243" s="37"/>
      <c r="R243" s="37"/>
      <c r="S243" s="37"/>
      <c r="T243" s="35"/>
      <c r="U243" s="36"/>
      <c r="V243" s="35"/>
      <c r="AE243" s="7"/>
      <c r="AH243" s="7"/>
      <c r="AN243" s="7"/>
    </row>
    <row r="244" spans="1:40">
      <c r="A244" s="7"/>
      <c r="B244" s="33">
        <f t="shared" si="24"/>
        <v>105.5</v>
      </c>
      <c r="C244" s="38">
        <f t="shared" si="19"/>
        <v>1.7583333333333333</v>
      </c>
      <c r="D244" s="37"/>
      <c r="E244" s="37" cm="1">
        <f t="array" ref="E244">IF(ISNUMBER(SEARCH(".5",B244)),(E243+E245)/2,INDEX(Regen!$A$1:$Z$123,MATCH(ROUND(B244,0),Regen!$A:$A,0),Berechnung_Versickerung!$J$9))</f>
        <v>58.825651835000002</v>
      </c>
      <c r="F244" s="37">
        <f t="shared" si="20"/>
        <v>1.5577032605908001</v>
      </c>
      <c r="G244" s="37">
        <f t="shared" si="21"/>
        <v>9.8602616395397646</v>
      </c>
      <c r="H244" s="37">
        <f t="shared" si="23"/>
        <v>10.55</v>
      </c>
      <c r="I244" s="37">
        <f t="shared" si="22"/>
        <v>-0.68973836046023607</v>
      </c>
      <c r="L244" s="33"/>
      <c r="M244" s="38"/>
      <c r="N244" s="37"/>
      <c r="O244" s="37"/>
      <c r="P244" s="37"/>
      <c r="Q244" s="37"/>
      <c r="R244" s="37"/>
      <c r="S244" s="37"/>
      <c r="T244" s="35"/>
      <c r="U244" s="36"/>
      <c r="V244" s="35"/>
      <c r="AE244" s="7"/>
      <c r="AH244" s="7"/>
      <c r="AN244" s="7"/>
    </row>
    <row r="245" spans="1:40">
      <c r="A245" s="7"/>
      <c r="B245" s="33">
        <f t="shared" si="24"/>
        <v>106</v>
      </c>
      <c r="C245" s="38">
        <f t="shared" si="19"/>
        <v>1.7666666666666666</v>
      </c>
      <c r="D245" s="37"/>
      <c r="E245" s="37" cm="1">
        <f t="array" ref="E245">IF(ISNUMBER(SEARCH(".5",B245)),(E244+E246)/2,INDEX(Regen!$A$1:$Z$123,MATCH(ROUND(B245,0),Regen!$A:$A,0),Berechnung_Versickerung!$J$9))</f>
        <v>58.608537699999999</v>
      </c>
      <c r="F245" s="37">
        <f t="shared" si="20"/>
        <v>1.551954078296</v>
      </c>
      <c r="G245" s="37">
        <f t="shared" si="21"/>
        <v>9.8704279379625603</v>
      </c>
      <c r="H245" s="37">
        <f t="shared" si="23"/>
        <v>10.600000000000001</v>
      </c>
      <c r="I245" s="37">
        <f t="shared" si="22"/>
        <v>-0.72957206203744107</v>
      </c>
      <c r="L245" s="33"/>
      <c r="M245" s="38"/>
      <c r="N245" s="37"/>
      <c r="O245" s="37"/>
      <c r="P245" s="37"/>
      <c r="Q245" s="37"/>
      <c r="R245" s="37"/>
      <c r="S245" s="37"/>
      <c r="T245" s="35"/>
      <c r="U245" s="36"/>
      <c r="V245" s="35"/>
      <c r="AE245" s="7"/>
      <c r="AH245" s="7"/>
      <c r="AN245" s="7"/>
    </row>
    <row r="246" spans="1:40">
      <c r="A246" s="7"/>
      <c r="B246" s="33">
        <f t="shared" si="24"/>
        <v>106.5</v>
      </c>
      <c r="C246" s="38">
        <f t="shared" si="19"/>
        <v>1.7749999999999999</v>
      </c>
      <c r="D246" s="37"/>
      <c r="E246" s="37" cm="1">
        <f t="array" ref="E246">IF(ISNUMBER(SEARCH(".5",B246)),(E245+E247)/2,INDEX(Regen!$A$1:$Z$123,MATCH(ROUND(B246,0),Regen!$A:$A,0),Berechnung_Versickerung!$J$9))</f>
        <v>58.395161799999997</v>
      </c>
      <c r="F246" s="37">
        <f t="shared" si="20"/>
        <v>1.546303884464</v>
      </c>
      <c r="G246" s="37">
        <f t="shared" si="21"/>
        <v>9.8808818217249605</v>
      </c>
      <c r="H246" s="37">
        <f t="shared" si="23"/>
        <v>10.65</v>
      </c>
      <c r="I246" s="37">
        <f t="shared" si="22"/>
        <v>-0.76911817827503981</v>
      </c>
      <c r="L246" s="33"/>
      <c r="M246" s="38"/>
      <c r="N246" s="37"/>
      <c r="O246" s="37"/>
      <c r="P246" s="37"/>
      <c r="Q246" s="37"/>
      <c r="R246" s="37"/>
      <c r="S246" s="37"/>
      <c r="T246" s="35"/>
      <c r="U246" s="36"/>
      <c r="V246" s="35"/>
      <c r="AE246" s="7"/>
      <c r="AH246" s="7"/>
      <c r="AN246" s="7"/>
    </row>
    <row r="247" spans="1:40">
      <c r="A247" s="7"/>
      <c r="B247" s="33">
        <f t="shared" si="24"/>
        <v>107</v>
      </c>
      <c r="C247" s="38">
        <f t="shared" si="19"/>
        <v>1.7833333333333334</v>
      </c>
      <c r="D247" s="37"/>
      <c r="E247" s="37" cm="1">
        <f t="array" ref="E247">IF(ISNUMBER(SEARCH(".5",B247)),(E246+E248)/2,INDEX(Regen!$A$1:$Z$123,MATCH(ROUND(B247,0),Regen!$A:$A,0),Berechnung_Versickerung!$J$9))</f>
        <v>58.181785900000001</v>
      </c>
      <c r="F247" s="37">
        <f t="shared" si="20"/>
        <v>1.5406536906320001</v>
      </c>
      <c r="G247" s="37">
        <f t="shared" si="21"/>
        <v>9.8909966938574421</v>
      </c>
      <c r="H247" s="37">
        <f t="shared" si="23"/>
        <v>10.700000000000001</v>
      </c>
      <c r="I247" s="37">
        <f t="shared" si="22"/>
        <v>-0.809003306142559</v>
      </c>
      <c r="L247" s="33"/>
      <c r="M247" s="38"/>
      <c r="N247" s="37"/>
      <c r="O247" s="37"/>
      <c r="P247" s="37"/>
      <c r="Q247" s="37"/>
      <c r="R247" s="37"/>
      <c r="S247" s="37"/>
      <c r="T247" s="35"/>
      <c r="U247" s="36"/>
      <c r="V247" s="35"/>
      <c r="AE247" s="7"/>
      <c r="AH247" s="7"/>
      <c r="AN247" s="7"/>
    </row>
    <row r="248" spans="1:40">
      <c r="A248" s="7"/>
      <c r="B248" s="33">
        <f t="shared" si="24"/>
        <v>107.5</v>
      </c>
      <c r="C248" s="38">
        <f t="shared" si="19"/>
        <v>1.7916666666666667</v>
      </c>
      <c r="D248" s="37"/>
      <c r="E248" s="37" cm="1">
        <f t="array" ref="E248">IF(ISNUMBER(SEARCH(".5",B248)),(E247+E249)/2,INDEX(Regen!$A$1:$Z$123,MATCH(ROUND(B248,0),Regen!$A:$A,0),Berechnung_Versickerung!$J$9))</f>
        <v>57.972048990000005</v>
      </c>
      <c r="F248" s="37">
        <f t="shared" si="20"/>
        <v>1.5350998572552002</v>
      </c>
      <c r="G248" s="37">
        <f t="shared" si="21"/>
        <v>9.9013940792960398</v>
      </c>
      <c r="H248" s="37">
        <f t="shared" si="23"/>
        <v>10.75</v>
      </c>
      <c r="I248" s="37">
        <f t="shared" si="22"/>
        <v>-0.84860592070396024</v>
      </c>
      <c r="L248" s="33"/>
      <c r="M248" s="38"/>
      <c r="N248" s="37"/>
      <c r="O248" s="37"/>
      <c r="P248" s="37"/>
      <c r="Q248" s="37"/>
      <c r="R248" s="37"/>
      <c r="S248" s="37"/>
      <c r="T248" s="35"/>
      <c r="U248" s="36"/>
      <c r="V248" s="35"/>
      <c r="AE248" s="7"/>
      <c r="AH248" s="7"/>
      <c r="AN248" s="7"/>
    </row>
    <row r="249" spans="1:40">
      <c r="A249" s="7"/>
      <c r="B249" s="33">
        <f t="shared" si="24"/>
        <v>108</v>
      </c>
      <c r="C249" s="38">
        <f t="shared" si="19"/>
        <v>1.8</v>
      </c>
      <c r="D249" s="37"/>
      <c r="E249" s="37" cm="1">
        <f t="array" ref="E249">IF(ISNUMBER(SEARCH(".5",B249)),(E248+E250)/2,INDEX(Regen!$A$1:$Z$123,MATCH(ROUND(B249,0),Regen!$A:$A,0),Berechnung_Versickerung!$J$9))</f>
        <v>57.762312080000001</v>
      </c>
      <c r="F249" s="37">
        <f t="shared" si="20"/>
        <v>1.5295460238784</v>
      </c>
      <c r="G249" s="37">
        <f t="shared" si="21"/>
        <v>9.9114582347320326</v>
      </c>
      <c r="H249" s="37">
        <f t="shared" si="23"/>
        <v>10.8</v>
      </c>
      <c r="I249" s="37">
        <f t="shared" si="22"/>
        <v>-0.88854176526796813</v>
      </c>
      <c r="L249" s="33"/>
      <c r="M249" s="38"/>
      <c r="N249" s="37"/>
      <c r="O249" s="37"/>
      <c r="P249" s="37"/>
      <c r="Q249" s="37"/>
      <c r="R249" s="37"/>
      <c r="S249" s="37"/>
      <c r="T249" s="35"/>
      <c r="U249" s="36"/>
      <c r="V249" s="35"/>
      <c r="AE249" s="7"/>
      <c r="AH249" s="7"/>
      <c r="AN249" s="7"/>
    </row>
    <row r="250" spans="1:40">
      <c r="A250" s="7"/>
      <c r="B250" s="33">
        <f t="shared" si="24"/>
        <v>108.5</v>
      </c>
      <c r="C250" s="38">
        <f t="shared" si="19"/>
        <v>1.8083333333333333</v>
      </c>
      <c r="D250" s="37"/>
      <c r="E250" s="37" cm="1">
        <f t="array" ref="E250">IF(ISNUMBER(SEARCH(".5",B250)),(E249+E251)/2,INDEX(Regen!$A$1:$Z$123,MATCH(ROUND(B250,0),Regen!$A:$A,0),Berechnung_Versickerung!$J$9))</f>
        <v>57.556118429999998</v>
      </c>
      <c r="F250" s="37">
        <f t="shared" si="20"/>
        <v>1.5240860160264</v>
      </c>
      <c r="G250" s="37">
        <f t="shared" si="21"/>
        <v>9.921799964331866</v>
      </c>
      <c r="H250" s="37">
        <f t="shared" si="23"/>
        <v>10.85</v>
      </c>
      <c r="I250" s="37">
        <f t="shared" si="22"/>
        <v>-0.92820003566813369</v>
      </c>
      <c r="L250" s="33"/>
      <c r="M250" s="38"/>
      <c r="N250" s="37"/>
      <c r="O250" s="37"/>
      <c r="P250" s="37"/>
      <c r="Q250" s="37"/>
      <c r="R250" s="37"/>
      <c r="S250" s="37"/>
      <c r="T250" s="35"/>
      <c r="U250" s="36"/>
      <c r="V250" s="35"/>
      <c r="AE250" s="7"/>
      <c r="AH250" s="7"/>
      <c r="AN250" s="7"/>
    </row>
    <row r="251" spans="1:40">
      <c r="A251" s="7"/>
      <c r="B251" s="33">
        <f t="shared" si="24"/>
        <v>109</v>
      </c>
      <c r="C251" s="38">
        <f t="shared" si="19"/>
        <v>1.8166666666666667</v>
      </c>
      <c r="D251" s="37"/>
      <c r="E251" s="37" cm="1">
        <f t="array" ref="E251">IF(ISNUMBER(SEARCH(".5",B251)),(E250+E252)/2,INDEX(Regen!$A$1:$Z$123,MATCH(ROUND(B251,0),Regen!$A:$A,0),Berechnung_Versickerung!$J$9))</f>
        <v>57.349924780000002</v>
      </c>
      <c r="F251" s="37">
        <f t="shared" si="20"/>
        <v>1.5186260081744001</v>
      </c>
      <c r="G251" s="37">
        <f t="shared" si="21"/>
        <v>9.9318140934605754</v>
      </c>
      <c r="H251" s="37">
        <f t="shared" si="23"/>
        <v>10.9</v>
      </c>
      <c r="I251" s="37">
        <f t="shared" si="22"/>
        <v>-0.96818590653942493</v>
      </c>
      <c r="L251" s="33"/>
      <c r="M251" s="38"/>
      <c r="N251" s="37"/>
      <c r="O251" s="37"/>
      <c r="P251" s="37"/>
      <c r="Q251" s="37"/>
      <c r="R251" s="37"/>
      <c r="S251" s="37"/>
      <c r="T251" s="35"/>
      <c r="U251" s="36"/>
      <c r="V251" s="35"/>
      <c r="AE251" s="7"/>
      <c r="AH251" s="7"/>
      <c r="AN251" s="7"/>
    </row>
    <row r="252" spans="1:40">
      <c r="A252" s="7"/>
      <c r="B252" s="33">
        <f t="shared" si="24"/>
        <v>109.5</v>
      </c>
      <c r="C252" s="38">
        <f t="shared" si="19"/>
        <v>1.825</v>
      </c>
      <c r="D252" s="37"/>
      <c r="E252" s="37" cm="1">
        <f t="array" ref="E252">IF(ISNUMBER(SEARCH(".5",B252)),(E251+E253)/2,INDEX(Regen!$A$1:$Z$123,MATCH(ROUND(B252,0),Regen!$A:$A,0),Berechnung_Versickerung!$J$9))</f>
        <v>57.147182049999998</v>
      </c>
      <c r="F252" s="37">
        <f t="shared" si="20"/>
        <v>1.513257380684</v>
      </c>
      <c r="G252" s="37">
        <f t="shared" si="21"/>
        <v>9.9421009910938789</v>
      </c>
      <c r="H252" s="37">
        <f t="shared" si="23"/>
        <v>10.950000000000001</v>
      </c>
      <c r="I252" s="37">
        <f t="shared" si="22"/>
        <v>-1.0078990089061222</v>
      </c>
      <c r="L252" s="33"/>
      <c r="M252" s="38"/>
      <c r="N252" s="37"/>
      <c r="O252" s="37"/>
      <c r="P252" s="37"/>
      <c r="Q252" s="37"/>
      <c r="R252" s="37"/>
      <c r="S252" s="37"/>
      <c r="T252" s="35"/>
      <c r="U252" s="36"/>
      <c r="V252" s="35"/>
      <c r="AE252" s="7"/>
      <c r="AH252" s="7"/>
      <c r="AN252" s="7"/>
    </row>
    <row r="253" spans="1:40">
      <c r="A253" s="7"/>
      <c r="B253" s="33">
        <f t="shared" si="24"/>
        <v>110</v>
      </c>
      <c r="C253" s="38">
        <f t="shared" si="19"/>
        <v>1.8333333333333333</v>
      </c>
      <c r="D253" s="37"/>
      <c r="E253" s="37" cm="1">
        <f t="array" ref="E253">IF(ISNUMBER(SEARCH(".5",B253)),(E252+E254)/2,INDEX(Regen!$A$1:$Z$123,MATCH(ROUND(B253,0),Regen!$A:$A,0),Berechnung_Versickerung!$J$9))</f>
        <v>56.944439320000001</v>
      </c>
      <c r="F253" s="37">
        <f t="shared" si="20"/>
        <v>1.5078887531936001</v>
      </c>
      <c r="G253" s="37">
        <f t="shared" si="21"/>
        <v>9.9520657710777591</v>
      </c>
      <c r="H253" s="37">
        <f t="shared" si="23"/>
        <v>11</v>
      </c>
      <c r="I253" s="37">
        <f t="shared" si="22"/>
        <v>-1.0479342289222409</v>
      </c>
      <c r="L253" s="33"/>
      <c r="M253" s="38"/>
      <c r="N253" s="37"/>
      <c r="O253" s="37"/>
      <c r="P253" s="37"/>
      <c r="Q253" s="37"/>
      <c r="R253" s="37"/>
      <c r="S253" s="37"/>
      <c r="T253" s="35"/>
      <c r="U253" s="36"/>
      <c r="V253" s="35"/>
      <c r="AE253" s="7"/>
      <c r="AH253" s="7"/>
      <c r="AN253" s="7"/>
    </row>
    <row r="254" spans="1:40">
      <c r="A254" s="7"/>
      <c r="B254" s="33">
        <f t="shared" si="24"/>
        <v>110.5</v>
      </c>
      <c r="C254" s="38">
        <f t="shared" si="19"/>
        <v>1.8416666666666666</v>
      </c>
      <c r="D254" s="37"/>
      <c r="E254" s="37" cm="1">
        <f t="array" ref="E254">IF(ISNUMBER(SEARCH(".5",B254)),(E253+E255)/2,INDEX(Regen!$A$1:$Z$123,MATCH(ROUND(B254,0),Regen!$A:$A,0),Berechnung_Versickerung!$J$9))</f>
        <v>56.745058395000001</v>
      </c>
      <c r="F254" s="37">
        <f t="shared" si="20"/>
        <v>1.5026091462996001</v>
      </c>
      <c r="G254" s="37">
        <f t="shared" si="21"/>
        <v>9.9622986399663471</v>
      </c>
      <c r="H254" s="37">
        <f t="shared" si="23"/>
        <v>11.05</v>
      </c>
      <c r="I254" s="37">
        <f t="shared" si="22"/>
        <v>-1.0877013600336536</v>
      </c>
      <c r="L254" s="33"/>
      <c r="M254" s="38"/>
      <c r="N254" s="37"/>
      <c r="O254" s="37"/>
      <c r="P254" s="37"/>
      <c r="Q254" s="37"/>
      <c r="R254" s="37"/>
      <c r="S254" s="37"/>
      <c r="T254" s="35"/>
      <c r="U254" s="36"/>
      <c r="V254" s="35"/>
      <c r="AE254" s="7"/>
      <c r="AH254" s="7"/>
      <c r="AN254" s="7"/>
    </row>
    <row r="255" spans="1:40">
      <c r="A255" s="7"/>
      <c r="B255" s="33">
        <f t="shared" si="24"/>
        <v>111</v>
      </c>
      <c r="C255" s="38">
        <f t="shared" si="19"/>
        <v>1.85</v>
      </c>
      <c r="D255" s="37"/>
      <c r="E255" s="37" cm="1">
        <f t="array" ref="E255">IF(ISNUMBER(SEARCH(".5",B255)),(E254+E256)/2,INDEX(Regen!$A$1:$Z$123,MATCH(ROUND(B255,0),Regen!$A:$A,0),Berechnung_Versickerung!$J$9))</f>
        <v>56.545677470000001</v>
      </c>
      <c r="F255" s="37">
        <f t="shared" si="20"/>
        <v>1.4973295394056001</v>
      </c>
      <c r="G255" s="37">
        <f t="shared" si="21"/>
        <v>9.9722147324412962</v>
      </c>
      <c r="H255" s="37">
        <f t="shared" si="23"/>
        <v>11.100000000000001</v>
      </c>
      <c r="I255" s="37">
        <f t="shared" si="22"/>
        <v>-1.1277852675587052</v>
      </c>
      <c r="L255" s="33"/>
      <c r="M255" s="38"/>
      <c r="N255" s="37"/>
      <c r="O255" s="37"/>
      <c r="P255" s="37"/>
      <c r="Q255" s="37"/>
      <c r="R255" s="37"/>
      <c r="S255" s="37"/>
      <c r="T255" s="35"/>
      <c r="U255" s="36"/>
      <c r="V255" s="35"/>
      <c r="AE255" s="7"/>
      <c r="AH255" s="7"/>
      <c r="AN255" s="7"/>
    </row>
    <row r="256" spans="1:40">
      <c r="A256" s="7"/>
      <c r="B256" s="33">
        <f t="shared" si="24"/>
        <v>111.5</v>
      </c>
      <c r="C256" s="38">
        <f t="shared" si="19"/>
        <v>1.8583333333333334</v>
      </c>
      <c r="D256" s="37"/>
      <c r="E256" s="37" cm="1">
        <f t="array" ref="E256">IF(ISNUMBER(SEARCH(".5",B256)),(E255+E257)/2,INDEX(Regen!$A$1:$Z$123,MATCH(ROUND(B256,0),Regen!$A:$A,0),Berechnung_Versickerung!$J$9))</f>
        <v>56.349572330000001</v>
      </c>
      <c r="F256" s="37">
        <f t="shared" si="20"/>
        <v>1.4921366752984</v>
      </c>
      <c r="G256" s="37">
        <f t="shared" si="21"/>
        <v>9.9823943577462959</v>
      </c>
      <c r="H256" s="37">
        <f t="shared" si="23"/>
        <v>11.15</v>
      </c>
      <c r="I256" s="37">
        <f t="shared" si="22"/>
        <v>-1.1676056422537044</v>
      </c>
      <c r="L256" s="33"/>
      <c r="M256" s="38"/>
      <c r="N256" s="37"/>
      <c r="O256" s="37"/>
      <c r="P256" s="37"/>
      <c r="Q256" s="37"/>
      <c r="R256" s="37"/>
      <c r="S256" s="37"/>
      <c r="T256" s="35"/>
      <c r="U256" s="36"/>
      <c r="V256" s="35"/>
      <c r="AE256" s="7"/>
      <c r="AH256" s="7"/>
      <c r="AN256" s="7"/>
    </row>
    <row r="257" spans="1:40">
      <c r="A257" s="7"/>
      <c r="B257" s="33">
        <f t="shared" si="24"/>
        <v>112</v>
      </c>
      <c r="C257" s="38">
        <f t="shared" si="19"/>
        <v>1.8666666666666667</v>
      </c>
      <c r="D257" s="37"/>
      <c r="E257" s="37" cm="1">
        <f t="array" ref="E257">IF(ISNUMBER(SEARCH(".5",B257)),(E256+E258)/2,INDEX(Regen!$A$1:$Z$123,MATCH(ROUND(B257,0),Regen!$A:$A,0),Berechnung_Versickerung!$J$9))</f>
        <v>56.153467190000001</v>
      </c>
      <c r="F257" s="37">
        <f t="shared" si="20"/>
        <v>1.4869438111912001</v>
      </c>
      <c r="G257" s="37">
        <f t="shared" si="21"/>
        <v>9.9922624112048659</v>
      </c>
      <c r="H257" s="37">
        <f t="shared" si="23"/>
        <v>11.2</v>
      </c>
      <c r="I257" s="37">
        <f t="shared" si="22"/>
        <v>-1.2077375887951334</v>
      </c>
      <c r="L257" s="33"/>
      <c r="M257" s="38"/>
      <c r="N257" s="37"/>
      <c r="O257" s="37"/>
      <c r="P257" s="37"/>
      <c r="Q257" s="37"/>
      <c r="R257" s="37"/>
      <c r="S257" s="37"/>
      <c r="T257" s="35"/>
      <c r="U257" s="36"/>
      <c r="V257" s="35"/>
      <c r="AE257" s="7"/>
      <c r="AH257" s="7"/>
      <c r="AN257" s="7"/>
    </row>
    <row r="258" spans="1:40">
      <c r="A258" s="7"/>
      <c r="B258" s="33">
        <f t="shared" si="24"/>
        <v>112.5</v>
      </c>
      <c r="C258" s="38">
        <f t="shared" si="19"/>
        <v>1.875</v>
      </c>
      <c r="D258" s="37"/>
      <c r="E258" s="37" cm="1">
        <f t="array" ref="E258">IF(ISNUMBER(SEARCH(".5",B258)),(E257+E259)/2,INDEX(Regen!$A$1:$Z$123,MATCH(ROUND(B258,0),Regen!$A:$A,0),Berechnung_Versickerung!$J$9))</f>
        <v>55.960554760000001</v>
      </c>
      <c r="F258" s="37">
        <f t="shared" si="20"/>
        <v>1.4818354900448001</v>
      </c>
      <c r="G258" s="37">
        <f t="shared" si="21"/>
        <v>10.002389557802401</v>
      </c>
      <c r="H258" s="37">
        <f t="shared" si="23"/>
        <v>11.25</v>
      </c>
      <c r="I258" s="37">
        <f t="shared" si="22"/>
        <v>-1.2476104421975993</v>
      </c>
      <c r="L258" s="33"/>
      <c r="M258" s="38"/>
      <c r="N258" s="37"/>
      <c r="O258" s="37"/>
      <c r="P258" s="37"/>
      <c r="Q258" s="37"/>
      <c r="R258" s="37"/>
      <c r="S258" s="37"/>
      <c r="T258" s="35"/>
      <c r="U258" s="36"/>
      <c r="V258" s="35"/>
      <c r="AE258" s="7"/>
      <c r="AH258" s="7"/>
      <c r="AN258" s="7"/>
    </row>
    <row r="259" spans="1:40">
      <c r="A259" s="7"/>
      <c r="B259" s="33">
        <f t="shared" si="24"/>
        <v>113</v>
      </c>
      <c r="C259" s="38">
        <f t="shared" si="19"/>
        <v>1.8833333333333333</v>
      </c>
      <c r="D259" s="37"/>
      <c r="E259" s="37" cm="1">
        <f t="array" ref="E259">IF(ISNUMBER(SEARCH(".5",B259)),(E258+E260)/2,INDEX(Regen!$A$1:$Z$123,MATCH(ROUND(B259,0),Regen!$A:$A,0),Berechnung_Versickerung!$J$9))</f>
        <v>55.767642330000001</v>
      </c>
      <c r="F259" s="37">
        <f t="shared" si="20"/>
        <v>1.4767271688984001</v>
      </c>
      <c r="G259" s="37">
        <f t="shared" si="21"/>
        <v>10.012210205131153</v>
      </c>
      <c r="H259" s="37">
        <f t="shared" si="23"/>
        <v>11.3</v>
      </c>
      <c r="I259" s="37">
        <f t="shared" si="22"/>
        <v>-1.2877897948688481</v>
      </c>
      <c r="L259" s="33"/>
      <c r="M259" s="38"/>
      <c r="N259" s="37"/>
      <c r="O259" s="37"/>
      <c r="P259" s="37"/>
      <c r="Q259" s="37"/>
      <c r="R259" s="37"/>
      <c r="S259" s="37"/>
      <c r="T259" s="35"/>
      <c r="U259" s="36"/>
      <c r="V259" s="35"/>
      <c r="AE259" s="7"/>
      <c r="AH259" s="7"/>
      <c r="AN259" s="7"/>
    </row>
    <row r="260" spans="1:40">
      <c r="A260" s="7"/>
      <c r="B260" s="33">
        <f t="shared" si="24"/>
        <v>113.5</v>
      </c>
      <c r="C260" s="38">
        <f t="shared" si="19"/>
        <v>1.8916666666666666</v>
      </c>
      <c r="D260" s="37"/>
      <c r="E260" s="37" cm="1">
        <f t="array" ref="E260">IF(ISNUMBER(SEARCH(".5",B260)),(E259+E261)/2,INDEX(Regen!$A$1:$Z$123,MATCH(ROUND(B260,0),Regen!$A:$A,0),Berechnung_Versickerung!$J$9))</f>
        <v>55.577842369999999</v>
      </c>
      <c r="F260" s="37">
        <f t="shared" si="20"/>
        <v>1.4717012659575999</v>
      </c>
      <c r="G260" s="37">
        <f t="shared" si="21"/>
        <v>10.022285621171255</v>
      </c>
      <c r="H260" s="37">
        <f t="shared" si="23"/>
        <v>11.35</v>
      </c>
      <c r="I260" s="37">
        <f t="shared" si="22"/>
        <v>-1.3277143788287447</v>
      </c>
      <c r="L260" s="33"/>
      <c r="M260" s="38"/>
      <c r="N260" s="37"/>
      <c r="O260" s="37"/>
      <c r="P260" s="37"/>
      <c r="Q260" s="37"/>
      <c r="R260" s="37"/>
      <c r="S260" s="37"/>
      <c r="T260" s="35"/>
      <c r="U260" s="36"/>
      <c r="V260" s="35"/>
      <c r="AE260" s="7"/>
      <c r="AH260" s="7"/>
      <c r="AN260" s="7"/>
    </row>
    <row r="261" spans="1:40">
      <c r="A261" s="7"/>
      <c r="B261" s="33">
        <f t="shared" si="24"/>
        <v>114</v>
      </c>
      <c r="C261" s="38">
        <f t="shared" si="19"/>
        <v>1.9</v>
      </c>
      <c r="D261" s="37"/>
      <c r="E261" s="37" cm="1">
        <f t="array" ref="E261">IF(ISNUMBER(SEARCH(".5",B261)),(E260+E262)/2,INDEX(Regen!$A$1:$Z$123,MATCH(ROUND(B261,0),Regen!$A:$A,0),Berechnung_Versickerung!$J$9))</f>
        <v>55.388042409999997</v>
      </c>
      <c r="F261" s="37">
        <f t="shared" si="20"/>
        <v>1.4666753630167999</v>
      </c>
      <c r="G261" s="37">
        <f t="shared" si="21"/>
        <v>10.03205948303491</v>
      </c>
      <c r="H261" s="37">
        <f t="shared" si="23"/>
        <v>11.4</v>
      </c>
      <c r="I261" s="37">
        <f t="shared" si="22"/>
        <v>-1.3679405169650902</v>
      </c>
      <c r="L261" s="33"/>
      <c r="M261" s="38"/>
      <c r="N261" s="37"/>
      <c r="O261" s="37"/>
      <c r="P261" s="37"/>
      <c r="Q261" s="37"/>
      <c r="R261" s="37"/>
      <c r="S261" s="37"/>
      <c r="T261" s="35"/>
      <c r="U261" s="36"/>
      <c r="V261" s="35"/>
      <c r="AE261" s="7"/>
      <c r="AH261" s="7"/>
      <c r="AN261" s="7"/>
    </row>
    <row r="262" spans="1:40">
      <c r="A262" s="7"/>
      <c r="B262" s="33">
        <f t="shared" si="24"/>
        <v>114.5</v>
      </c>
      <c r="C262" s="38">
        <f t="shared" si="19"/>
        <v>1.9083333333333334</v>
      </c>
      <c r="D262" s="37"/>
      <c r="E262" s="37" cm="1">
        <f t="array" ref="E262">IF(ISNUMBER(SEARCH(".5",B262)),(E261+E263)/2,INDEX(Regen!$A$1:$Z$123,MATCH(ROUND(B262,0),Regen!$A:$A,0),Berechnung_Versickerung!$J$9))</f>
        <v>55.201277390000001</v>
      </c>
      <c r="F262" s="37">
        <f t="shared" si="20"/>
        <v>1.4617298252872</v>
      </c>
      <c r="G262" s="37">
        <f t="shared" si="21"/>
        <v>10.042083899723064</v>
      </c>
      <c r="H262" s="37">
        <f t="shared" si="23"/>
        <v>11.450000000000001</v>
      </c>
      <c r="I262" s="37">
        <f t="shared" si="22"/>
        <v>-1.4079161002769371</v>
      </c>
      <c r="L262" s="33"/>
      <c r="M262" s="38"/>
      <c r="N262" s="37"/>
      <c r="O262" s="37"/>
      <c r="P262" s="37"/>
      <c r="Q262" s="37"/>
      <c r="R262" s="37"/>
      <c r="S262" s="37"/>
      <c r="T262" s="35"/>
      <c r="U262" s="36"/>
      <c r="V262" s="35"/>
      <c r="AE262" s="7"/>
      <c r="AH262" s="7"/>
      <c r="AN262" s="7"/>
    </row>
    <row r="263" spans="1:40">
      <c r="A263" s="7"/>
      <c r="B263" s="33">
        <f t="shared" si="24"/>
        <v>115</v>
      </c>
      <c r="C263" s="38">
        <f t="shared" si="19"/>
        <v>1.9166666666666667</v>
      </c>
      <c r="D263" s="37"/>
      <c r="E263" s="37" cm="1">
        <f t="array" ref="E263">IF(ISNUMBER(SEARCH(".5",B263)),(E262+E264)/2,INDEX(Regen!$A$1:$Z$123,MATCH(ROUND(B263,0),Regen!$A:$A,0),Berechnung_Versickerung!$J$9))</f>
        <v>55.014512369999998</v>
      </c>
      <c r="F263" s="37">
        <f t="shared" si="20"/>
        <v>1.4567842875576</v>
      </c>
      <c r="G263" s="37">
        <f t="shared" si="21"/>
        <v>10.05181158414744</v>
      </c>
      <c r="H263" s="37">
        <f t="shared" si="23"/>
        <v>11.500000000000002</v>
      </c>
      <c r="I263" s="37">
        <f t="shared" si="22"/>
        <v>-1.4481884158525613</v>
      </c>
      <c r="L263" s="33"/>
      <c r="M263" s="38"/>
      <c r="N263" s="37"/>
      <c r="O263" s="37"/>
      <c r="P263" s="37"/>
      <c r="Q263" s="37"/>
      <c r="R263" s="37"/>
      <c r="S263" s="37"/>
      <c r="T263" s="35"/>
      <c r="U263" s="36"/>
      <c r="V263" s="35"/>
      <c r="AE263" s="7"/>
      <c r="AH263" s="7"/>
      <c r="AN263" s="7"/>
    </row>
    <row r="264" spans="1:40">
      <c r="A264" s="7"/>
      <c r="B264" s="33">
        <f t="shared" si="24"/>
        <v>115.5</v>
      </c>
      <c r="C264" s="38">
        <f t="shared" si="19"/>
        <v>1.925</v>
      </c>
      <c r="D264" s="37"/>
      <c r="E264" s="37" cm="1">
        <f t="array" ref="E264">IF(ISNUMBER(SEARCH(".5",B264)),(E263+E265)/2,INDEX(Regen!$A$1:$Z$123,MATCH(ROUND(B264,0),Regen!$A:$A,0),Berechnung_Versickerung!$J$9))</f>
        <v>54.830707340000004</v>
      </c>
      <c r="F264" s="37">
        <f t="shared" si="20"/>
        <v>1.4519171303632001</v>
      </c>
      <c r="G264" s="37">
        <f t="shared" si="21"/>
        <v>10.061785713416977</v>
      </c>
      <c r="H264" s="37">
        <f t="shared" si="23"/>
        <v>11.55</v>
      </c>
      <c r="I264" s="37">
        <f t="shared" si="22"/>
        <v>-1.4882142865830232</v>
      </c>
      <c r="L264" s="33"/>
      <c r="M264" s="38"/>
      <c r="N264" s="37"/>
      <c r="O264" s="37"/>
      <c r="P264" s="37"/>
      <c r="Q264" s="37"/>
      <c r="R264" s="37"/>
      <c r="S264" s="37"/>
      <c r="T264" s="35"/>
      <c r="U264" s="36"/>
      <c r="V264" s="35"/>
      <c r="AE264" s="7"/>
      <c r="AH264" s="7"/>
      <c r="AN264" s="7"/>
    </row>
    <row r="265" spans="1:40">
      <c r="A265" s="7"/>
      <c r="B265" s="33">
        <f t="shared" si="24"/>
        <v>116</v>
      </c>
      <c r="C265" s="38">
        <f t="shared" si="19"/>
        <v>1.9333333333333333</v>
      </c>
      <c r="D265" s="37"/>
      <c r="E265" s="37" cm="1">
        <f t="array" ref="E265">IF(ISNUMBER(SEARCH(".5",B265)),(E264+E266)/2,INDEX(Regen!$A$1:$Z$123,MATCH(ROUND(B265,0),Regen!$A:$A,0),Berechnung_Versickerung!$J$9))</f>
        <v>54.646902310000002</v>
      </c>
      <c r="F265" s="37">
        <f t="shared" si="20"/>
        <v>1.4470499731688</v>
      </c>
      <c r="G265" s="37">
        <f t="shared" si="21"/>
        <v>10.071467813254849</v>
      </c>
      <c r="H265" s="37">
        <f t="shared" si="23"/>
        <v>11.6</v>
      </c>
      <c r="I265" s="37">
        <f t="shared" si="22"/>
        <v>-1.5285321867451511</v>
      </c>
      <c r="L265" s="33"/>
      <c r="M265" s="38"/>
      <c r="N265" s="37"/>
      <c r="O265" s="37"/>
      <c r="P265" s="37"/>
      <c r="Q265" s="37"/>
      <c r="R265" s="37"/>
      <c r="S265" s="37"/>
      <c r="T265" s="35"/>
      <c r="U265" s="36"/>
      <c r="V265" s="35"/>
      <c r="AE265" s="7"/>
      <c r="AH265" s="7"/>
      <c r="AN265" s="7"/>
    </row>
    <row r="266" spans="1:40">
      <c r="A266" s="7"/>
      <c r="B266" s="33">
        <f t="shared" si="24"/>
        <v>116.5</v>
      </c>
      <c r="C266" s="38">
        <f t="shared" si="19"/>
        <v>1.9416666666666667</v>
      </c>
      <c r="D266" s="37"/>
      <c r="E266" s="37" cm="1">
        <f t="array" ref="E266">IF(ISNUMBER(SEARCH(".5",B266)),(E265+E267)/2,INDEX(Regen!$A$1:$Z$123,MATCH(ROUND(B266,0),Regen!$A:$A,0),Berechnung_Versickerung!$J$9))</f>
        <v>54.465984825</v>
      </c>
      <c r="F266" s="37">
        <f t="shared" si="20"/>
        <v>1.442259278166</v>
      </c>
      <c r="G266" s="37">
        <f t="shared" si="21"/>
        <v>10.081392354380341</v>
      </c>
      <c r="H266" s="37">
        <f t="shared" si="23"/>
        <v>11.65</v>
      </c>
      <c r="I266" s="37">
        <f t="shared" si="22"/>
        <v>-1.5686076456196592</v>
      </c>
      <c r="L266" s="33"/>
      <c r="M266" s="38"/>
      <c r="N266" s="37"/>
      <c r="O266" s="37"/>
      <c r="P266" s="37"/>
      <c r="Q266" s="37"/>
      <c r="R266" s="37"/>
      <c r="S266" s="37"/>
      <c r="T266" s="35"/>
      <c r="U266" s="36"/>
      <c r="V266" s="35"/>
      <c r="AE266" s="7"/>
      <c r="AH266" s="7"/>
      <c r="AN266" s="7"/>
    </row>
    <row r="267" spans="1:40">
      <c r="A267" s="7"/>
      <c r="B267" s="33">
        <f t="shared" si="24"/>
        <v>117</v>
      </c>
      <c r="C267" s="38">
        <f t="shared" si="19"/>
        <v>1.95</v>
      </c>
      <c r="D267" s="37"/>
      <c r="E267" s="37" cm="1">
        <f t="array" ref="E267">IF(ISNUMBER(SEARCH(".5",B267)),(E266+E268)/2,INDEX(Regen!$A$1:$Z$123,MATCH(ROUND(B267,0),Regen!$A:$A,0),Berechnung_Versickerung!$J$9))</f>
        <v>54.285067339999998</v>
      </c>
      <c r="F267" s="37">
        <f t="shared" si="20"/>
        <v>1.4374685831631999</v>
      </c>
      <c r="G267" s="37">
        <f t="shared" si="21"/>
        <v>10.091029453805664</v>
      </c>
      <c r="H267" s="37">
        <f t="shared" si="23"/>
        <v>11.7</v>
      </c>
      <c r="I267" s="37">
        <f t="shared" si="22"/>
        <v>-1.6089705461943353</v>
      </c>
      <c r="L267" s="33"/>
      <c r="M267" s="38"/>
      <c r="N267" s="37"/>
      <c r="O267" s="37"/>
      <c r="P267" s="37"/>
      <c r="Q267" s="37"/>
      <c r="R267" s="37"/>
      <c r="S267" s="37"/>
      <c r="T267" s="35"/>
      <c r="U267" s="36"/>
      <c r="V267" s="35"/>
      <c r="AE267" s="7"/>
      <c r="AH267" s="7"/>
      <c r="AN267" s="7"/>
    </row>
    <row r="268" spans="1:40">
      <c r="A268" s="7"/>
      <c r="B268" s="33">
        <f t="shared" si="24"/>
        <v>117.5</v>
      </c>
      <c r="C268" s="38">
        <f t="shared" si="19"/>
        <v>1.9583333333333333</v>
      </c>
      <c r="D268" s="37"/>
      <c r="E268" s="37" cm="1">
        <f t="array" ref="E268">IF(ISNUMBER(SEARCH(".5",B268)),(E267+E269)/2,INDEX(Regen!$A$1:$Z$123,MATCH(ROUND(B268,0),Regen!$A:$A,0),Berechnung_Versickerung!$J$9))</f>
        <v>54.106967314999999</v>
      </c>
      <c r="F268" s="37">
        <f t="shared" si="20"/>
        <v>1.4327524945012</v>
      </c>
      <c r="G268" s="37">
        <f t="shared" si="21"/>
        <v>10.100905086233459</v>
      </c>
      <c r="H268" s="37">
        <f t="shared" si="23"/>
        <v>11.75</v>
      </c>
      <c r="I268" s="37">
        <f t="shared" si="22"/>
        <v>-1.6490949137665414</v>
      </c>
      <c r="L268" s="33"/>
      <c r="M268" s="38"/>
      <c r="N268" s="37"/>
      <c r="O268" s="37"/>
      <c r="P268" s="37"/>
      <c r="Q268" s="37"/>
      <c r="R268" s="37"/>
      <c r="S268" s="37"/>
      <c r="T268" s="35"/>
      <c r="U268" s="36"/>
      <c r="V268" s="35"/>
      <c r="AE268" s="7"/>
      <c r="AH268" s="7"/>
      <c r="AN268" s="7"/>
    </row>
    <row r="269" spans="1:40">
      <c r="A269" s="7"/>
      <c r="B269" s="33">
        <f t="shared" si="24"/>
        <v>118</v>
      </c>
      <c r="C269" s="38">
        <f t="shared" si="19"/>
        <v>1.9666666666666666</v>
      </c>
      <c r="D269" s="37"/>
      <c r="E269" s="37" cm="1">
        <f t="array" ref="E269">IF(ISNUMBER(SEARCH(".5",B269)),(E268+E270)/2,INDEX(Regen!$A$1:$Z$123,MATCH(ROUND(B269,0),Regen!$A:$A,0),Berechnung_Versickerung!$J$9))</f>
        <v>53.928867289999999</v>
      </c>
      <c r="F269" s="37">
        <f t="shared" si="20"/>
        <v>1.4280364058391999</v>
      </c>
      <c r="G269" s="37">
        <f t="shared" si="21"/>
        <v>10.110497753341535</v>
      </c>
      <c r="H269" s="37">
        <f t="shared" si="23"/>
        <v>11.8</v>
      </c>
      <c r="I269" s="37">
        <f t="shared" si="22"/>
        <v>-1.6895022466584653</v>
      </c>
      <c r="L269" s="33"/>
      <c r="M269" s="38"/>
      <c r="N269" s="37"/>
      <c r="O269" s="37"/>
      <c r="P269" s="37"/>
      <c r="Q269" s="37"/>
      <c r="R269" s="37"/>
      <c r="S269" s="37"/>
      <c r="T269" s="35"/>
      <c r="U269" s="36"/>
      <c r="V269" s="35"/>
      <c r="AE269" s="7"/>
      <c r="AH269" s="7"/>
      <c r="AN269" s="7"/>
    </row>
    <row r="270" spans="1:40">
      <c r="A270" s="7"/>
      <c r="B270" s="33">
        <f t="shared" si="24"/>
        <v>118.5</v>
      </c>
      <c r="C270" s="38">
        <f t="shared" si="19"/>
        <v>1.9750000000000001</v>
      </c>
      <c r="D270" s="37"/>
      <c r="E270" s="37" cm="1">
        <f t="array" ref="E270">IF(ISNUMBER(SEARCH(".5",B270)),(E269+E271)/2,INDEX(Regen!$A$1:$Z$123,MATCH(ROUND(B270,0),Regen!$A:$A,0),Berechnung_Versickerung!$J$9))</f>
        <v>53.753516939999997</v>
      </c>
      <c r="F270" s="37">
        <f t="shared" si="20"/>
        <v>1.4233931285712</v>
      </c>
      <c r="G270" s="37">
        <f t="shared" si="21"/>
        <v>10.120325144141232</v>
      </c>
      <c r="H270" s="37">
        <f t="shared" si="23"/>
        <v>11.850000000000001</v>
      </c>
      <c r="I270" s="37">
        <f t="shared" si="22"/>
        <v>-1.7296748558587698</v>
      </c>
      <c r="L270" s="33"/>
      <c r="M270" s="38"/>
      <c r="N270" s="37"/>
      <c r="O270" s="37"/>
      <c r="P270" s="37"/>
      <c r="Q270" s="37"/>
      <c r="R270" s="37"/>
      <c r="S270" s="37"/>
      <c r="T270" s="35"/>
      <c r="U270" s="36"/>
      <c r="V270" s="35"/>
      <c r="AE270" s="7"/>
      <c r="AH270" s="7"/>
      <c r="AN270" s="7"/>
    </row>
    <row r="271" spans="1:40">
      <c r="A271" s="7"/>
      <c r="B271" s="33">
        <f t="shared" si="24"/>
        <v>119</v>
      </c>
      <c r="C271" s="38">
        <f t="shared" si="19"/>
        <v>1.9833333333333334</v>
      </c>
      <c r="D271" s="37"/>
      <c r="E271" s="37" cm="1">
        <f t="array" ref="E271">IF(ISNUMBER(SEARCH(".5",B271)),(E270+E272)/2,INDEX(Regen!$A$1:$Z$123,MATCH(ROUND(B271,0),Regen!$A:$A,0),Berechnung_Versickerung!$J$9))</f>
        <v>53.578166590000002</v>
      </c>
      <c r="F271" s="37">
        <f t="shared" si="20"/>
        <v>1.4187498513032</v>
      </c>
      <c r="G271" s="37">
        <f t="shared" si="21"/>
        <v>10.129873938304847</v>
      </c>
      <c r="H271" s="37">
        <f t="shared" si="23"/>
        <v>11.9</v>
      </c>
      <c r="I271" s="37">
        <f t="shared" si="22"/>
        <v>-1.7701260616951533</v>
      </c>
      <c r="L271" s="33"/>
      <c r="M271" s="38"/>
      <c r="N271" s="37"/>
      <c r="O271" s="37"/>
      <c r="P271" s="37"/>
      <c r="Q271" s="37"/>
      <c r="R271" s="37"/>
      <c r="S271" s="37"/>
      <c r="T271" s="35"/>
      <c r="U271" s="36"/>
      <c r="V271" s="35"/>
      <c r="AE271" s="7"/>
      <c r="AH271" s="7"/>
      <c r="AN271" s="7"/>
    </row>
    <row r="272" spans="1:40">
      <c r="A272" s="7"/>
      <c r="B272" s="33">
        <f t="shared" si="24"/>
        <v>119.5</v>
      </c>
      <c r="C272" s="38">
        <f t="shared" si="19"/>
        <v>1.9916666666666667</v>
      </c>
      <c r="D272" s="37"/>
      <c r="E272" s="37" cm="1">
        <f t="array" ref="E272">IF(ISNUMBER(SEARCH(".5",B272)),(E271+E273)/2,INDEX(Regen!$A$1:$Z$123,MATCH(ROUND(B272,0),Regen!$A:$A,0),Berechnung_Versickerung!$J$9))</f>
        <v>53.405500314999998</v>
      </c>
      <c r="F272" s="37">
        <f t="shared" si="20"/>
        <v>1.4141776483411999</v>
      </c>
      <c r="G272" s="37">
        <f t="shared" si="21"/>
        <v>10.139653738606404</v>
      </c>
      <c r="H272" s="37">
        <f t="shared" si="23"/>
        <v>11.950000000000001</v>
      </c>
      <c r="I272" s="37">
        <f t="shared" si="22"/>
        <v>-1.8103462613935974</v>
      </c>
      <c r="L272" s="33"/>
      <c r="M272" s="38"/>
      <c r="N272" s="37"/>
      <c r="O272" s="37"/>
      <c r="P272" s="37"/>
      <c r="Q272" s="37"/>
      <c r="R272" s="37"/>
      <c r="S272" s="37"/>
      <c r="T272" s="35"/>
      <c r="U272" s="36"/>
      <c r="V272" s="35"/>
      <c r="AE272" s="7"/>
      <c r="AH272" s="7"/>
      <c r="AN272" s="7"/>
    </row>
    <row r="273" spans="1:40">
      <c r="A273" s="7"/>
      <c r="B273" s="33">
        <f t="shared" si="24"/>
        <v>120</v>
      </c>
      <c r="C273" s="38">
        <f t="shared" si="19"/>
        <v>2</v>
      </c>
      <c r="D273" s="37"/>
      <c r="E273" s="37" cm="1">
        <f t="array" ref="E273">IF(ISNUMBER(SEARCH(".5",B273)),(E272+E274)/2,INDEX(Regen!$A$1:$Z$123,MATCH(ROUND(B273,0),Regen!$A:$A,0),Berechnung_Versickerung!$J$9))</f>
        <v>53.23283404</v>
      </c>
      <c r="F273" s="37">
        <f t="shared" si="20"/>
        <v>1.4096054453792</v>
      </c>
      <c r="G273" s="37">
        <f t="shared" si="21"/>
        <v>10.149159206730241</v>
      </c>
      <c r="H273" s="37">
        <f t="shared" si="23"/>
        <v>12</v>
      </c>
      <c r="I273" s="37">
        <f t="shared" si="22"/>
        <v>-1.850840793269759</v>
      </c>
      <c r="M273" s="7"/>
      <c r="N273" s="7"/>
      <c r="O273" s="7"/>
      <c r="P273" s="7"/>
      <c r="Q273" s="7"/>
      <c r="T273" s="35"/>
      <c r="U273" s="36"/>
      <c r="V273" s="35"/>
      <c r="AE273" s="7"/>
      <c r="AH273" s="7"/>
      <c r="AN273" s="7"/>
    </row>
    <row r="274" spans="1:40">
      <c r="A274" s="7"/>
      <c r="B274" s="33"/>
      <c r="C274" s="7"/>
      <c r="D274" s="7"/>
      <c r="E274" s="7"/>
      <c r="F274" s="7"/>
      <c r="G274" s="7"/>
      <c r="M274" s="7"/>
      <c r="N274" s="7"/>
      <c r="O274" s="7"/>
      <c r="P274" s="7"/>
      <c r="Q274" s="7"/>
      <c r="AE274" s="7"/>
      <c r="AH274" s="7"/>
      <c r="AN274" s="7"/>
    </row>
    <row r="275" spans="1:40">
      <c r="A275" s="7"/>
      <c r="B275" s="33"/>
      <c r="C275" s="7"/>
      <c r="D275" s="7"/>
      <c r="E275" s="7"/>
      <c r="F275" s="7"/>
      <c r="G275" s="7"/>
      <c r="M275" s="7"/>
      <c r="N275" s="7"/>
      <c r="O275" s="7"/>
      <c r="P275" s="7"/>
      <c r="Q275" s="7"/>
      <c r="AE275" s="7"/>
      <c r="AH275" s="7"/>
      <c r="AN275" s="7"/>
    </row>
    <row r="276" spans="1:40">
      <c r="A276" s="7"/>
      <c r="B276" s="33"/>
      <c r="C276" s="7"/>
      <c r="D276" s="7"/>
      <c r="E276" s="7"/>
      <c r="F276" s="7"/>
      <c r="G276" s="7"/>
      <c r="L276" s="7"/>
      <c r="M276" s="7"/>
      <c r="N276" s="7"/>
      <c r="O276" s="7"/>
      <c r="P276" s="7"/>
      <c r="AE276" s="7"/>
      <c r="AH276" s="7"/>
      <c r="AN276" s="7"/>
    </row>
    <row r="277" spans="1:40">
      <c r="L277" s="7"/>
      <c r="M277" s="7"/>
      <c r="N277" s="7"/>
      <c r="O277" s="7"/>
      <c r="P277" s="7"/>
    </row>
    <row r="278" spans="1:40">
      <c r="L278" s="7"/>
      <c r="M278" s="7"/>
      <c r="N278" s="7"/>
      <c r="O278" s="7"/>
      <c r="P278" s="7"/>
    </row>
    <row r="279" spans="1:40">
      <c r="L279" s="7"/>
      <c r="M279" s="7"/>
      <c r="N279" s="7"/>
      <c r="O279" s="7"/>
      <c r="P279" s="7"/>
    </row>
    <row r="280" spans="1:40">
      <c r="L280" s="7"/>
      <c r="M280" s="7"/>
      <c r="N280" s="7"/>
      <c r="O280" s="7"/>
      <c r="P280" s="7"/>
    </row>
    <row r="281" spans="1:40">
      <c r="L281" s="7"/>
      <c r="M281" s="7"/>
      <c r="N281" s="7"/>
      <c r="O281" s="7"/>
      <c r="P281" s="7"/>
    </row>
  </sheetData>
  <sheetProtection selectLockedCells="1" selectUnlockedCells="1"/>
  <pageMargins left="0.78740157499999996" right="0.78740157499999996" top="0.984251969" bottom="0.984251969" header="0.4921259845" footer="0.4921259845"/>
  <pageSetup paperSize="8" scale="26"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0F33-C8D0-4B21-B3D2-19F4E745E41F}">
  <sheetPr codeName="Tabelle9"/>
  <dimension ref="A1:Z248"/>
  <sheetViews>
    <sheetView zoomScale="70" zoomScaleNormal="70" workbookViewId="0">
      <selection activeCell="A13" sqref="A13:XFD13"/>
    </sheetView>
  </sheetViews>
  <sheetFormatPr baseColWidth="10" defaultRowHeight="15"/>
  <cols>
    <col min="2" max="2" width="6.7109375" style="80" customWidth="1"/>
  </cols>
  <sheetData>
    <row r="1" spans="1:26">
      <c r="B1" s="82"/>
      <c r="C1" s="371" t="s">
        <v>29</v>
      </c>
      <c r="D1" s="372"/>
      <c r="E1" s="372"/>
      <c r="F1" s="373"/>
      <c r="G1" s="372" t="s">
        <v>49</v>
      </c>
      <c r="H1" s="372"/>
      <c r="I1" s="372"/>
      <c r="J1" s="372"/>
      <c r="K1" s="371" t="s">
        <v>61</v>
      </c>
      <c r="L1" s="372"/>
      <c r="M1" s="372"/>
      <c r="N1" s="373"/>
      <c r="O1" s="371" t="s">
        <v>71</v>
      </c>
      <c r="P1" s="372"/>
      <c r="Q1" s="372"/>
      <c r="R1" s="373"/>
      <c r="S1" s="371" t="s">
        <v>281</v>
      </c>
      <c r="T1" s="372"/>
      <c r="U1" s="372"/>
      <c r="V1" s="373"/>
      <c r="W1" s="371" t="s">
        <v>95</v>
      </c>
      <c r="X1" s="372"/>
      <c r="Y1" s="372"/>
      <c r="Z1" s="373"/>
    </row>
    <row r="2" spans="1:26">
      <c r="A2" s="77" t="s">
        <v>175</v>
      </c>
      <c r="B2" s="82"/>
      <c r="C2" s="71" t="s">
        <v>2</v>
      </c>
      <c r="D2" s="68" t="s">
        <v>3</v>
      </c>
      <c r="E2" s="68" t="s">
        <v>4</v>
      </c>
      <c r="F2" s="68" t="s">
        <v>5</v>
      </c>
      <c r="G2" s="71" t="s">
        <v>2</v>
      </c>
      <c r="H2" s="68" t="s">
        <v>3</v>
      </c>
      <c r="I2" s="68" t="s">
        <v>4</v>
      </c>
      <c r="J2" s="77" t="s">
        <v>5</v>
      </c>
      <c r="K2" s="68" t="s">
        <v>2</v>
      </c>
      <c r="L2" s="68" t="s">
        <v>3</v>
      </c>
      <c r="M2" s="68" t="s">
        <v>4</v>
      </c>
      <c r="N2" s="68" t="s">
        <v>5</v>
      </c>
      <c r="O2" s="68" t="s">
        <v>2</v>
      </c>
      <c r="P2" s="68" t="s">
        <v>3</v>
      </c>
      <c r="Q2" s="68" t="s">
        <v>4</v>
      </c>
      <c r="R2" s="68" t="s">
        <v>5</v>
      </c>
      <c r="S2" s="68" t="s">
        <v>2</v>
      </c>
      <c r="T2" s="68" t="s">
        <v>3</v>
      </c>
      <c r="U2" s="68" t="s">
        <v>4</v>
      </c>
      <c r="V2" s="68" t="s">
        <v>5</v>
      </c>
      <c r="W2" s="68" t="s">
        <v>2</v>
      </c>
      <c r="X2" s="68" t="s">
        <v>3</v>
      </c>
      <c r="Y2" s="68" t="s">
        <v>4</v>
      </c>
      <c r="Z2" s="68" t="s">
        <v>5</v>
      </c>
    </row>
    <row r="3" spans="1:26">
      <c r="A3" s="77" t="s">
        <v>176</v>
      </c>
      <c r="B3" s="82"/>
      <c r="C3" s="71" t="s">
        <v>177</v>
      </c>
      <c r="D3" s="68" t="s">
        <v>177</v>
      </c>
      <c r="E3" s="68" t="s">
        <v>177</v>
      </c>
      <c r="F3" s="68" t="s">
        <v>177</v>
      </c>
      <c r="G3" s="71" t="s">
        <v>177</v>
      </c>
      <c r="H3" s="68" t="s">
        <v>177</v>
      </c>
      <c r="I3" s="68" t="s">
        <v>177</v>
      </c>
      <c r="J3" s="77" t="s">
        <v>177</v>
      </c>
      <c r="K3" s="68" t="s">
        <v>177</v>
      </c>
      <c r="L3" s="68" t="s">
        <v>177</v>
      </c>
      <c r="M3" s="68" t="s">
        <v>177</v>
      </c>
      <c r="N3" s="68" t="s">
        <v>177</v>
      </c>
      <c r="O3" s="68" t="s">
        <v>177</v>
      </c>
      <c r="P3" s="68" t="s">
        <v>177</v>
      </c>
      <c r="Q3" s="68" t="s">
        <v>177</v>
      </c>
      <c r="R3" s="68" t="s">
        <v>177</v>
      </c>
      <c r="S3" s="68" t="s">
        <v>177</v>
      </c>
      <c r="T3" s="68" t="s">
        <v>177</v>
      </c>
      <c r="U3" s="68" t="s">
        <v>177</v>
      </c>
      <c r="V3" s="68" t="s">
        <v>177</v>
      </c>
      <c r="W3" s="68" t="s">
        <v>177</v>
      </c>
      <c r="X3" s="68" t="s">
        <v>177</v>
      </c>
      <c r="Y3" s="68" t="s">
        <v>177</v>
      </c>
      <c r="Z3" s="68" t="s">
        <v>177</v>
      </c>
    </row>
    <row r="4" spans="1:26">
      <c r="A4" s="83">
        <v>1</v>
      </c>
      <c r="B4" s="84"/>
      <c r="C4" s="85">
        <f>C$8</f>
        <v>259</v>
      </c>
      <c r="D4" s="85">
        <f t="shared" ref="D4:X7" si="0">D$8</f>
        <v>328</v>
      </c>
      <c r="E4" s="85">
        <f t="shared" si="0"/>
        <v>419</v>
      </c>
      <c r="F4" s="85">
        <f t="shared" si="0"/>
        <v>488</v>
      </c>
      <c r="G4" s="85">
        <f>G$8</f>
        <v>229.8476216</v>
      </c>
      <c r="H4" s="85">
        <f t="shared" si="0"/>
        <v>278.47800660000001</v>
      </c>
      <c r="I4" s="85">
        <f t="shared" si="0"/>
        <v>342.76387870000002</v>
      </c>
      <c r="J4" s="85">
        <f t="shared" si="0"/>
        <v>391.39426359999999</v>
      </c>
      <c r="K4" s="85">
        <f>K$8</f>
        <v>174.84957499999999</v>
      </c>
      <c r="L4" s="85">
        <f t="shared" si="0"/>
        <v>285.76942220000001</v>
      </c>
      <c r="M4" s="85">
        <f t="shared" si="0"/>
        <v>432.39748450000002</v>
      </c>
      <c r="N4" s="85">
        <f t="shared" si="0"/>
        <v>543.31733159999999</v>
      </c>
      <c r="O4" s="85">
        <f>O$8</f>
        <v>200.02362239999999</v>
      </c>
      <c r="P4" s="85">
        <f t="shared" si="0"/>
        <v>235.0797723</v>
      </c>
      <c r="Q4" s="85">
        <f t="shared" si="0"/>
        <v>281.42148179999998</v>
      </c>
      <c r="R4" s="85">
        <f t="shared" si="0"/>
        <v>316.47763170000002</v>
      </c>
      <c r="S4" s="85">
        <f>S$8</f>
        <v>234.16002940000001</v>
      </c>
      <c r="T4" s="85">
        <f t="shared" si="0"/>
        <v>295.74750219999999</v>
      </c>
      <c r="U4" s="85">
        <f t="shared" si="0"/>
        <v>377.16171270000001</v>
      </c>
      <c r="V4" s="85">
        <f t="shared" si="0"/>
        <v>438.74918550000001</v>
      </c>
      <c r="W4" s="85">
        <f>W$8</f>
        <v>252.78815650000001</v>
      </c>
      <c r="X4" s="85">
        <f t="shared" si="0"/>
        <v>309.45137130000001</v>
      </c>
      <c r="Y4" s="85">
        <f t="shared" ref="W4:Z7" si="1">Y$8</f>
        <v>384.356067</v>
      </c>
      <c r="Z4" s="85">
        <f t="shared" si="1"/>
        <v>441.01928179999999</v>
      </c>
    </row>
    <row r="5" spans="1:26">
      <c r="A5" s="83">
        <v>2</v>
      </c>
      <c r="B5" s="84"/>
      <c r="C5" s="85">
        <f t="shared" ref="C5:S7" si="2">C$8</f>
        <v>259</v>
      </c>
      <c r="D5" s="85">
        <f t="shared" si="2"/>
        <v>328</v>
      </c>
      <c r="E5" s="85">
        <f t="shared" si="2"/>
        <v>419</v>
      </c>
      <c r="F5" s="85">
        <f t="shared" si="2"/>
        <v>488</v>
      </c>
      <c r="G5" s="85">
        <f t="shared" si="2"/>
        <v>229.8476216</v>
      </c>
      <c r="H5" s="85">
        <f t="shared" si="2"/>
        <v>278.47800660000001</v>
      </c>
      <c r="I5" s="85">
        <f t="shared" si="2"/>
        <v>342.76387870000002</v>
      </c>
      <c r="J5" s="85">
        <f t="shared" si="2"/>
        <v>391.39426359999999</v>
      </c>
      <c r="K5" s="85">
        <f t="shared" si="2"/>
        <v>174.84957499999999</v>
      </c>
      <c r="L5" s="85">
        <f t="shared" si="2"/>
        <v>285.76942220000001</v>
      </c>
      <c r="M5" s="85">
        <f t="shared" si="2"/>
        <v>432.39748450000002</v>
      </c>
      <c r="N5" s="85">
        <f t="shared" si="2"/>
        <v>543.31733159999999</v>
      </c>
      <c r="O5" s="85">
        <f t="shared" si="2"/>
        <v>200.02362239999999</v>
      </c>
      <c r="P5" s="85">
        <f t="shared" si="2"/>
        <v>235.0797723</v>
      </c>
      <c r="Q5" s="85">
        <f t="shared" si="2"/>
        <v>281.42148179999998</v>
      </c>
      <c r="R5" s="85">
        <f t="shared" si="2"/>
        <v>316.47763170000002</v>
      </c>
      <c r="S5" s="85">
        <f t="shared" si="2"/>
        <v>234.16002940000001</v>
      </c>
      <c r="T5" s="85">
        <f t="shared" si="0"/>
        <v>295.74750219999999</v>
      </c>
      <c r="U5" s="85">
        <f t="shared" si="0"/>
        <v>377.16171270000001</v>
      </c>
      <c r="V5" s="85">
        <f t="shared" si="0"/>
        <v>438.74918550000001</v>
      </c>
      <c r="W5" s="85">
        <f t="shared" si="0"/>
        <v>252.78815650000001</v>
      </c>
      <c r="X5" s="85">
        <f t="shared" si="1"/>
        <v>309.45137130000001</v>
      </c>
      <c r="Y5" s="85">
        <f t="shared" si="1"/>
        <v>384.356067</v>
      </c>
      <c r="Z5" s="85">
        <f t="shared" si="1"/>
        <v>441.01928179999999</v>
      </c>
    </row>
    <row r="6" spans="1:26">
      <c r="A6" s="83">
        <v>3</v>
      </c>
      <c r="B6" s="84"/>
      <c r="C6" s="85">
        <f t="shared" si="2"/>
        <v>259</v>
      </c>
      <c r="D6" s="85">
        <f t="shared" si="2"/>
        <v>328</v>
      </c>
      <c r="E6" s="85">
        <f t="shared" si="2"/>
        <v>419</v>
      </c>
      <c r="F6" s="85">
        <f t="shared" si="2"/>
        <v>488</v>
      </c>
      <c r="G6" s="85">
        <f t="shared" si="2"/>
        <v>229.8476216</v>
      </c>
      <c r="H6" s="85">
        <f t="shared" si="2"/>
        <v>278.47800660000001</v>
      </c>
      <c r="I6" s="85">
        <f t="shared" si="2"/>
        <v>342.76387870000002</v>
      </c>
      <c r="J6" s="85">
        <f t="shared" si="2"/>
        <v>391.39426359999999</v>
      </c>
      <c r="K6" s="85">
        <f t="shared" si="2"/>
        <v>174.84957499999999</v>
      </c>
      <c r="L6" s="85">
        <f t="shared" si="2"/>
        <v>285.76942220000001</v>
      </c>
      <c r="M6" s="85">
        <f t="shared" si="2"/>
        <v>432.39748450000002</v>
      </c>
      <c r="N6" s="85">
        <f t="shared" si="2"/>
        <v>543.31733159999999</v>
      </c>
      <c r="O6" s="85">
        <f t="shared" si="2"/>
        <v>200.02362239999999</v>
      </c>
      <c r="P6" s="85">
        <f t="shared" si="2"/>
        <v>235.0797723</v>
      </c>
      <c r="Q6" s="85">
        <f t="shared" si="2"/>
        <v>281.42148179999998</v>
      </c>
      <c r="R6" s="85">
        <f t="shared" si="2"/>
        <v>316.47763170000002</v>
      </c>
      <c r="S6" s="85">
        <f t="shared" si="0"/>
        <v>234.16002940000001</v>
      </c>
      <c r="T6" s="85">
        <f t="shared" si="0"/>
        <v>295.74750219999999</v>
      </c>
      <c r="U6" s="85">
        <f t="shared" si="0"/>
        <v>377.16171270000001</v>
      </c>
      <c r="V6" s="85">
        <f t="shared" si="0"/>
        <v>438.74918550000001</v>
      </c>
      <c r="W6" s="85">
        <f t="shared" si="1"/>
        <v>252.78815650000001</v>
      </c>
      <c r="X6" s="85">
        <f t="shared" si="1"/>
        <v>309.45137130000001</v>
      </c>
      <c r="Y6" s="85">
        <f t="shared" si="1"/>
        <v>384.356067</v>
      </c>
      <c r="Z6" s="85">
        <f t="shared" si="1"/>
        <v>441.01928179999999</v>
      </c>
    </row>
    <row r="7" spans="1:26">
      <c r="A7" s="83">
        <v>4</v>
      </c>
      <c r="B7" s="84"/>
      <c r="C7" s="85">
        <f t="shared" si="2"/>
        <v>259</v>
      </c>
      <c r="D7" s="85">
        <f t="shared" si="2"/>
        <v>328</v>
      </c>
      <c r="E7" s="85">
        <f t="shared" si="2"/>
        <v>419</v>
      </c>
      <c r="F7" s="85">
        <f t="shared" si="2"/>
        <v>488</v>
      </c>
      <c r="G7" s="85">
        <f t="shared" si="2"/>
        <v>229.8476216</v>
      </c>
      <c r="H7" s="85">
        <f t="shared" si="2"/>
        <v>278.47800660000001</v>
      </c>
      <c r="I7" s="85">
        <f t="shared" si="2"/>
        <v>342.76387870000002</v>
      </c>
      <c r="J7" s="85">
        <f t="shared" si="2"/>
        <v>391.39426359999999</v>
      </c>
      <c r="K7" s="85">
        <f t="shared" si="2"/>
        <v>174.84957499999999</v>
      </c>
      <c r="L7" s="85">
        <f t="shared" si="2"/>
        <v>285.76942220000001</v>
      </c>
      <c r="M7" s="85">
        <f t="shared" si="2"/>
        <v>432.39748450000002</v>
      </c>
      <c r="N7" s="85">
        <f t="shared" si="2"/>
        <v>543.31733159999999</v>
      </c>
      <c r="O7" s="85">
        <f t="shared" si="2"/>
        <v>200.02362239999999</v>
      </c>
      <c r="P7" s="85">
        <f t="shared" si="2"/>
        <v>235.0797723</v>
      </c>
      <c r="Q7" s="85">
        <f t="shared" si="2"/>
        <v>281.42148179999998</v>
      </c>
      <c r="R7" s="85">
        <f t="shared" si="2"/>
        <v>316.47763170000002</v>
      </c>
      <c r="S7" s="85">
        <f t="shared" si="0"/>
        <v>234.16002940000001</v>
      </c>
      <c r="T7" s="85">
        <f t="shared" si="0"/>
        <v>295.74750219999999</v>
      </c>
      <c r="U7" s="85">
        <f t="shared" si="0"/>
        <v>377.16171270000001</v>
      </c>
      <c r="V7" s="85">
        <f t="shared" si="0"/>
        <v>438.74918550000001</v>
      </c>
      <c r="W7" s="85">
        <f t="shared" si="1"/>
        <v>252.78815650000001</v>
      </c>
      <c r="X7" s="85">
        <f t="shared" si="1"/>
        <v>309.45137130000001</v>
      </c>
      <c r="Y7" s="85">
        <f t="shared" si="1"/>
        <v>384.356067</v>
      </c>
      <c r="Z7" s="85">
        <f t="shared" si="1"/>
        <v>441.01928179999999</v>
      </c>
    </row>
    <row r="8" spans="1:26">
      <c r="A8" s="72">
        <v>5</v>
      </c>
      <c r="C8" s="69">
        <v>259</v>
      </c>
      <c r="D8" s="69">
        <v>328</v>
      </c>
      <c r="E8" s="69">
        <v>419</v>
      </c>
      <c r="F8" s="73">
        <v>488</v>
      </c>
      <c r="G8" s="69">
        <v>229.8476216</v>
      </c>
      <c r="H8" s="69">
        <v>278.47800660000001</v>
      </c>
      <c r="I8" s="69">
        <v>342.76387870000002</v>
      </c>
      <c r="J8" s="69">
        <v>391.39426359999999</v>
      </c>
      <c r="K8" s="78">
        <v>174.84957499999999</v>
      </c>
      <c r="L8" s="69">
        <v>285.76942220000001</v>
      </c>
      <c r="M8" s="69">
        <v>432.39748450000002</v>
      </c>
      <c r="N8" s="73">
        <v>543.31733159999999</v>
      </c>
      <c r="O8" s="69">
        <v>200.02362239999999</v>
      </c>
      <c r="P8" s="69">
        <v>235.0797723</v>
      </c>
      <c r="Q8" s="69">
        <v>281.42148179999998</v>
      </c>
      <c r="R8" s="69">
        <v>316.47763170000002</v>
      </c>
      <c r="S8" s="69">
        <v>234.16002940000001</v>
      </c>
      <c r="T8" s="69">
        <v>295.74750219999999</v>
      </c>
      <c r="U8" s="69">
        <v>377.16171270000001</v>
      </c>
      <c r="V8" s="69">
        <v>438.74918550000001</v>
      </c>
      <c r="W8" s="69">
        <v>252.78815650000001</v>
      </c>
      <c r="X8" s="69">
        <v>309.45137130000001</v>
      </c>
      <c r="Y8" s="69">
        <v>384.356067</v>
      </c>
      <c r="Z8" s="69">
        <v>441.01928179999999</v>
      </c>
    </row>
    <row r="9" spans="1:26">
      <c r="A9" s="72">
        <v>6</v>
      </c>
      <c r="C9" s="69">
        <v>233</v>
      </c>
      <c r="D9" s="69">
        <v>295</v>
      </c>
      <c r="E9" s="69">
        <v>378</v>
      </c>
      <c r="F9" s="73">
        <v>440</v>
      </c>
      <c r="G9" s="69">
        <v>205.30460049999999</v>
      </c>
      <c r="H9" s="69">
        <v>249.13354340000001</v>
      </c>
      <c r="I9" s="69">
        <v>307.07225440000002</v>
      </c>
      <c r="J9" s="69">
        <v>350.9011974</v>
      </c>
      <c r="K9" s="78">
        <v>157.64890020000001</v>
      </c>
      <c r="L9" s="69">
        <v>253.3600964</v>
      </c>
      <c r="M9" s="69">
        <v>379.8834157</v>
      </c>
      <c r="N9" s="73">
        <v>475.59461199999998</v>
      </c>
      <c r="O9" s="69">
        <v>181.25139490000001</v>
      </c>
      <c r="P9" s="69">
        <v>213.72037839999999</v>
      </c>
      <c r="Q9" s="69">
        <v>256.64203989999999</v>
      </c>
      <c r="R9" s="69">
        <v>289.11102340000002</v>
      </c>
      <c r="S9" s="69">
        <v>210.80201819999999</v>
      </c>
      <c r="T9" s="69">
        <v>266.46003139999999</v>
      </c>
      <c r="U9" s="69">
        <v>340.03592270000001</v>
      </c>
      <c r="V9" s="69">
        <v>395.69393589999999</v>
      </c>
      <c r="W9" s="69">
        <v>226.2123752</v>
      </c>
      <c r="X9" s="69">
        <v>276.77106479999998</v>
      </c>
      <c r="Y9" s="69">
        <v>343.60601700000001</v>
      </c>
      <c r="Z9" s="69">
        <v>394.16470659999999</v>
      </c>
    </row>
    <row r="10" spans="1:26">
      <c r="A10" s="72">
        <v>7</v>
      </c>
      <c r="C10" s="69">
        <v>213</v>
      </c>
      <c r="D10" s="69">
        <v>270</v>
      </c>
      <c r="E10" s="69">
        <v>346</v>
      </c>
      <c r="F10" s="73">
        <v>402</v>
      </c>
      <c r="G10" s="69">
        <v>186.60996220000001</v>
      </c>
      <c r="H10" s="69">
        <v>226.7511294</v>
      </c>
      <c r="I10" s="69">
        <v>279.81486599999999</v>
      </c>
      <c r="J10" s="69">
        <v>319.95603319999998</v>
      </c>
      <c r="K10" s="78">
        <v>144.43294879999999</v>
      </c>
      <c r="L10" s="69">
        <v>228.92428620000001</v>
      </c>
      <c r="M10" s="69">
        <v>340.6157589</v>
      </c>
      <c r="N10" s="73">
        <v>425.10709630000002</v>
      </c>
      <c r="O10" s="69">
        <v>166.7610157</v>
      </c>
      <c r="P10" s="69">
        <v>197.19212110000001</v>
      </c>
      <c r="Q10" s="69">
        <v>237.4198542</v>
      </c>
      <c r="R10" s="69">
        <v>267.85095960000001</v>
      </c>
      <c r="S10" s="69">
        <v>192.88052780000001</v>
      </c>
      <c r="T10" s="69">
        <v>243.9729025</v>
      </c>
      <c r="U10" s="69">
        <v>311.51334809999997</v>
      </c>
      <c r="V10" s="69">
        <v>362.60572280000002</v>
      </c>
      <c r="W10" s="69">
        <v>205.9347866</v>
      </c>
      <c r="X10" s="69">
        <v>251.8482008</v>
      </c>
      <c r="Y10" s="69">
        <v>312.54243289999999</v>
      </c>
      <c r="Z10" s="69">
        <v>358.45584700000001</v>
      </c>
    </row>
    <row r="11" spans="1:26">
      <c r="A11" s="72">
        <v>8</v>
      </c>
      <c r="C11" s="69">
        <v>198</v>
      </c>
      <c r="D11" s="69">
        <v>250</v>
      </c>
      <c r="E11" s="69">
        <v>320</v>
      </c>
      <c r="F11" s="73">
        <v>373</v>
      </c>
      <c r="G11" s="69">
        <v>171.79764209999999</v>
      </c>
      <c r="H11" s="69">
        <v>208.9960859</v>
      </c>
      <c r="I11" s="69">
        <v>258.16975389999999</v>
      </c>
      <c r="J11" s="69">
        <v>295.36819780000002</v>
      </c>
      <c r="K11" s="78">
        <v>133.88373300000001</v>
      </c>
      <c r="L11" s="69">
        <v>209.7248702</v>
      </c>
      <c r="M11" s="69">
        <v>309.9814002</v>
      </c>
      <c r="N11" s="73">
        <v>385.82253730000002</v>
      </c>
      <c r="O11" s="69">
        <v>155.1486773</v>
      </c>
      <c r="P11" s="69">
        <v>183.91817330000001</v>
      </c>
      <c r="Q11" s="69">
        <v>221.94937820000001</v>
      </c>
      <c r="R11" s="69">
        <v>250.71887409999999</v>
      </c>
      <c r="S11" s="69">
        <v>178.59255239999999</v>
      </c>
      <c r="T11" s="69">
        <v>226.03385170000001</v>
      </c>
      <c r="U11" s="69">
        <v>288.74783810000002</v>
      </c>
      <c r="V11" s="69">
        <v>336.18913750000002</v>
      </c>
      <c r="W11" s="69">
        <v>189.84480379999999</v>
      </c>
      <c r="X11" s="69">
        <v>232.0807356</v>
      </c>
      <c r="Y11" s="69">
        <v>287.9136006</v>
      </c>
      <c r="Z11" s="69">
        <v>330.1495324</v>
      </c>
    </row>
    <row r="12" spans="1:26">
      <c r="A12" s="72">
        <v>9</v>
      </c>
      <c r="C12" s="69">
        <v>184</v>
      </c>
      <c r="D12" s="69">
        <v>234</v>
      </c>
      <c r="E12" s="69">
        <v>299</v>
      </c>
      <c r="F12" s="73">
        <v>348</v>
      </c>
      <c r="G12" s="69">
        <v>159.71128630000001</v>
      </c>
      <c r="H12" s="69">
        <v>194.4936568</v>
      </c>
      <c r="I12" s="69">
        <v>240.47344960000001</v>
      </c>
      <c r="J12" s="69">
        <v>275.25582009999999</v>
      </c>
      <c r="K12" s="78">
        <v>125.2200947</v>
      </c>
      <c r="L12" s="69">
        <v>194.1693568</v>
      </c>
      <c r="M12" s="69">
        <v>285.31532349999998</v>
      </c>
      <c r="N12" s="73">
        <v>354.26458559999998</v>
      </c>
      <c r="O12" s="69">
        <v>145.57893749999999</v>
      </c>
      <c r="P12" s="69">
        <v>172.95826260000001</v>
      </c>
      <c r="Q12" s="69">
        <v>209.15176170000001</v>
      </c>
      <c r="R12" s="69">
        <v>236.5310868</v>
      </c>
      <c r="S12" s="69">
        <v>166.8708077</v>
      </c>
      <c r="T12" s="69">
        <v>211.30881650000001</v>
      </c>
      <c r="U12" s="69">
        <v>270.05266890000001</v>
      </c>
      <c r="V12" s="69">
        <v>314.49067769999999</v>
      </c>
      <c r="W12" s="69">
        <v>176.69919229999999</v>
      </c>
      <c r="X12" s="69">
        <v>215.93663480000001</v>
      </c>
      <c r="Y12" s="69">
        <v>267.8057124</v>
      </c>
      <c r="Z12" s="69">
        <v>307.04315489999999</v>
      </c>
    </row>
    <row r="13" spans="1:26">
      <c r="A13" s="72">
        <v>10</v>
      </c>
      <c r="C13" s="69">
        <v>174</v>
      </c>
      <c r="D13" s="69">
        <v>220</v>
      </c>
      <c r="E13" s="69">
        <v>282</v>
      </c>
      <c r="F13" s="73">
        <v>328</v>
      </c>
      <c r="G13" s="69">
        <v>149.6220008</v>
      </c>
      <c r="H13" s="69">
        <v>182.37640200000001</v>
      </c>
      <c r="I13" s="69">
        <v>225.67536509999999</v>
      </c>
      <c r="J13" s="69">
        <v>258.42976629999998</v>
      </c>
      <c r="K13" s="78">
        <v>117.94635700000001</v>
      </c>
      <c r="L13" s="69">
        <v>181.26305139999999</v>
      </c>
      <c r="M13" s="69">
        <v>264.96316849999999</v>
      </c>
      <c r="N13" s="73">
        <v>328.27986279999999</v>
      </c>
      <c r="O13" s="69">
        <v>137.5197886</v>
      </c>
      <c r="P13" s="69">
        <v>163.71258230000001</v>
      </c>
      <c r="Q13" s="69">
        <v>198.33757230000001</v>
      </c>
      <c r="R13" s="69">
        <v>224.53036610000001</v>
      </c>
      <c r="S13" s="69">
        <v>157.03879240000001</v>
      </c>
      <c r="T13" s="69">
        <v>198.9517348</v>
      </c>
      <c r="U13" s="69">
        <v>254.3576309</v>
      </c>
      <c r="V13" s="69">
        <v>296.27057330000002</v>
      </c>
      <c r="W13" s="69">
        <v>165.713268</v>
      </c>
      <c r="X13" s="69">
        <v>202.44931020000001</v>
      </c>
      <c r="Y13" s="69">
        <v>251.01171650000001</v>
      </c>
      <c r="Z13" s="69">
        <v>287.74775870000002</v>
      </c>
    </row>
    <row r="14" spans="1:26">
      <c r="A14" s="72">
        <v>11</v>
      </c>
      <c r="C14" s="69">
        <v>164</v>
      </c>
      <c r="D14" s="69">
        <v>208</v>
      </c>
      <c r="E14" s="69">
        <v>267</v>
      </c>
      <c r="F14" s="73">
        <v>311</v>
      </c>
      <c r="G14" s="69">
        <v>141.0453181</v>
      </c>
      <c r="H14" s="69">
        <v>172.0672491</v>
      </c>
      <c r="I14" s="69">
        <v>213.0760113</v>
      </c>
      <c r="J14" s="69">
        <v>244.0979423</v>
      </c>
      <c r="K14" s="78">
        <v>111.73112519999999</v>
      </c>
      <c r="L14" s="69">
        <v>170.34998379999999</v>
      </c>
      <c r="M14" s="69">
        <v>247.8399</v>
      </c>
      <c r="N14" s="73">
        <v>306.45875860000001</v>
      </c>
      <c r="O14" s="69">
        <v>130.61443009999999</v>
      </c>
      <c r="P14" s="69">
        <v>155.7782344</v>
      </c>
      <c r="Q14" s="69">
        <v>189.0429742</v>
      </c>
      <c r="R14" s="69">
        <v>214.20677850000001</v>
      </c>
      <c r="S14" s="69">
        <v>148.64465100000001</v>
      </c>
      <c r="T14" s="69">
        <v>188.39722280000001</v>
      </c>
      <c r="U14" s="69">
        <v>240.94726410000001</v>
      </c>
      <c r="V14" s="69">
        <v>280.69983580000002</v>
      </c>
      <c r="W14" s="69">
        <v>156.36487880000001</v>
      </c>
      <c r="X14" s="69">
        <v>190.97578630000001</v>
      </c>
      <c r="Y14" s="69">
        <v>236.72891720000001</v>
      </c>
      <c r="Z14" s="69">
        <v>271.33982470000001</v>
      </c>
    </row>
    <row r="15" spans="1:26">
      <c r="A15" s="72">
        <v>12</v>
      </c>
      <c r="C15" s="69">
        <v>156</v>
      </c>
      <c r="D15" s="69">
        <v>198</v>
      </c>
      <c r="E15" s="69">
        <v>254</v>
      </c>
      <c r="F15" s="73">
        <v>296</v>
      </c>
      <c r="G15" s="69">
        <v>133.64543380000001</v>
      </c>
      <c r="H15" s="69">
        <v>163.16588239999999</v>
      </c>
      <c r="I15" s="69">
        <v>202.18979279999999</v>
      </c>
      <c r="J15" s="69">
        <v>231.7102414</v>
      </c>
      <c r="K15" s="78">
        <v>106.34348679999999</v>
      </c>
      <c r="L15" s="69">
        <v>160.9785833</v>
      </c>
      <c r="M15" s="69">
        <v>233.2022523</v>
      </c>
      <c r="N15" s="73">
        <v>287.83734879999997</v>
      </c>
      <c r="O15" s="69">
        <v>124.6135491</v>
      </c>
      <c r="P15" s="69">
        <v>148.87329790000001</v>
      </c>
      <c r="Q15" s="69">
        <v>180.9429413</v>
      </c>
      <c r="R15" s="69">
        <v>205.20269010000001</v>
      </c>
      <c r="S15" s="69">
        <v>141.37380519999999</v>
      </c>
      <c r="T15" s="69">
        <v>179.2514936</v>
      </c>
      <c r="U15" s="69">
        <v>229.32307399999999</v>
      </c>
      <c r="V15" s="69">
        <v>267.20076230000001</v>
      </c>
      <c r="W15" s="69">
        <v>148.2917257</v>
      </c>
      <c r="X15" s="69">
        <v>181.07006630000001</v>
      </c>
      <c r="Y15" s="69">
        <v>224.4006756</v>
      </c>
      <c r="Z15" s="69">
        <v>257.17901619999998</v>
      </c>
    </row>
    <row r="16" spans="1:26">
      <c r="A16" s="72">
        <v>13</v>
      </c>
      <c r="C16" s="69">
        <v>149</v>
      </c>
      <c r="D16" s="69">
        <v>189</v>
      </c>
      <c r="E16" s="69">
        <v>242</v>
      </c>
      <c r="F16" s="73">
        <v>282</v>
      </c>
      <c r="G16" s="69">
        <v>127.18152449999999</v>
      </c>
      <c r="H16" s="69">
        <v>155.38500260000001</v>
      </c>
      <c r="I16" s="69">
        <v>192.66797260000001</v>
      </c>
      <c r="J16" s="69">
        <v>220.8714507</v>
      </c>
      <c r="K16" s="78">
        <v>101.6170529</v>
      </c>
      <c r="L16" s="69">
        <v>152.82696709999999</v>
      </c>
      <c r="M16" s="69">
        <v>220.52279139999999</v>
      </c>
      <c r="N16" s="73">
        <v>271.73270550000001</v>
      </c>
      <c r="O16" s="69">
        <v>119.33704059999999</v>
      </c>
      <c r="P16" s="69">
        <v>142.79384880000001</v>
      </c>
      <c r="Q16" s="69">
        <v>173.80206250000001</v>
      </c>
      <c r="R16" s="69">
        <v>197.25887069999999</v>
      </c>
      <c r="S16" s="69">
        <v>134.99975449999999</v>
      </c>
      <c r="T16" s="69">
        <v>171.2309042</v>
      </c>
      <c r="U16" s="69">
        <v>219.1258789</v>
      </c>
      <c r="V16" s="69">
        <v>255.35702860000001</v>
      </c>
      <c r="W16" s="69">
        <v>141.2337407</v>
      </c>
      <c r="X16" s="69">
        <v>172.41209090000001</v>
      </c>
      <c r="Y16" s="69">
        <v>213.62762789999999</v>
      </c>
      <c r="Z16" s="69">
        <v>244.80597800000001</v>
      </c>
    </row>
    <row r="17" spans="1:26">
      <c r="A17" s="72">
        <v>14</v>
      </c>
      <c r="C17" s="69">
        <v>143</v>
      </c>
      <c r="D17" s="69">
        <v>181</v>
      </c>
      <c r="E17" s="69">
        <v>232</v>
      </c>
      <c r="F17" s="73">
        <v>271</v>
      </c>
      <c r="G17" s="69">
        <v>121.4759401</v>
      </c>
      <c r="H17" s="69">
        <v>148.5125324</v>
      </c>
      <c r="I17" s="69">
        <v>184.2529634</v>
      </c>
      <c r="J17" s="69">
        <v>211.28955579999999</v>
      </c>
      <c r="K17" s="78">
        <v>97.428547620000003</v>
      </c>
      <c r="L17" s="69">
        <v>145.65898000000001</v>
      </c>
      <c r="M17" s="69">
        <v>209.4161435</v>
      </c>
      <c r="N17" s="73">
        <v>257.64657579999999</v>
      </c>
      <c r="O17" s="69">
        <v>114.6511564</v>
      </c>
      <c r="P17" s="69">
        <v>137.38827019999999</v>
      </c>
      <c r="Q17" s="69">
        <v>167.44509959999999</v>
      </c>
      <c r="R17" s="69">
        <v>190.1822133</v>
      </c>
      <c r="S17" s="69">
        <v>129.354806</v>
      </c>
      <c r="T17" s="69">
        <v>164.1253796</v>
      </c>
      <c r="U17" s="69">
        <v>210.0895778</v>
      </c>
      <c r="V17" s="69">
        <v>244.8601515</v>
      </c>
      <c r="W17" s="69">
        <v>134.99891360000001</v>
      </c>
      <c r="X17" s="69">
        <v>164.76561720000001</v>
      </c>
      <c r="Y17" s="69">
        <v>204.11505890000001</v>
      </c>
      <c r="Z17" s="69">
        <v>233.88176250000001</v>
      </c>
    </row>
    <row r="18" spans="1:26">
      <c r="A18" s="72">
        <v>15</v>
      </c>
      <c r="C18" s="69">
        <v>137</v>
      </c>
      <c r="D18" s="69">
        <v>174</v>
      </c>
      <c r="E18" s="69">
        <v>223</v>
      </c>
      <c r="F18" s="73">
        <v>260</v>
      </c>
      <c r="G18" s="69">
        <v>116.39448</v>
      </c>
      <c r="H18" s="69">
        <v>142.38816449999999</v>
      </c>
      <c r="I18" s="69">
        <v>176.7499464</v>
      </c>
      <c r="J18" s="69">
        <v>202.74363099999999</v>
      </c>
      <c r="K18" s="78">
        <v>93.684472139999997</v>
      </c>
      <c r="L18" s="69">
        <v>139.29710180000001</v>
      </c>
      <c r="M18" s="69">
        <v>199.59371849999999</v>
      </c>
      <c r="N18" s="73">
        <v>245.20634820000001</v>
      </c>
      <c r="O18" s="69">
        <v>110.454238</v>
      </c>
      <c r="P18" s="69">
        <v>132.54119420000001</v>
      </c>
      <c r="Q18" s="69">
        <v>161.7385621</v>
      </c>
      <c r="R18" s="69">
        <v>183.8255183</v>
      </c>
      <c r="S18" s="69">
        <v>124.31185600000001</v>
      </c>
      <c r="T18" s="69">
        <v>157.77563950000001</v>
      </c>
      <c r="U18" s="69">
        <v>202.01235510000001</v>
      </c>
      <c r="V18" s="69">
        <v>235.47613860000001</v>
      </c>
      <c r="W18" s="69">
        <v>129.4420811</v>
      </c>
      <c r="X18" s="69">
        <v>157.95208310000001</v>
      </c>
      <c r="Y18" s="69">
        <v>195.64025580000001</v>
      </c>
      <c r="Z18" s="69">
        <v>224.15025790000001</v>
      </c>
    </row>
    <row r="19" spans="1:26">
      <c r="A19" s="72">
        <v>16</v>
      </c>
      <c r="C19" s="69">
        <v>132</v>
      </c>
      <c r="D19" s="69">
        <v>168</v>
      </c>
      <c r="E19" s="69">
        <v>215</v>
      </c>
      <c r="F19" s="73">
        <v>251</v>
      </c>
      <c r="G19" s="69">
        <v>111.8336869</v>
      </c>
      <c r="H19" s="69">
        <v>136.88824389999999</v>
      </c>
      <c r="I19" s="69">
        <v>170.00856669999999</v>
      </c>
      <c r="J19" s="69">
        <v>195.06312370000001</v>
      </c>
      <c r="K19" s="78">
        <v>90.312479019999998</v>
      </c>
      <c r="L19" s="69">
        <v>133.6050927</v>
      </c>
      <c r="M19" s="69">
        <v>190.83481509999999</v>
      </c>
      <c r="N19" s="73">
        <v>234.12742890000001</v>
      </c>
      <c r="O19" s="69">
        <v>106.6674678</v>
      </c>
      <c r="P19" s="69">
        <v>128.163082</v>
      </c>
      <c r="Q19" s="69">
        <v>156.5787383</v>
      </c>
      <c r="R19" s="69">
        <v>178.0743525</v>
      </c>
      <c r="S19" s="69">
        <v>119.7726138</v>
      </c>
      <c r="T19" s="69">
        <v>152.05847249999999</v>
      </c>
      <c r="U19" s="69">
        <v>194.73805630000001</v>
      </c>
      <c r="V19" s="69">
        <v>227.02391499999999</v>
      </c>
      <c r="W19" s="69">
        <v>124.4512531</v>
      </c>
      <c r="X19" s="69">
        <v>151.83376179999999</v>
      </c>
      <c r="Y19" s="69">
        <v>188.03146949999999</v>
      </c>
      <c r="Z19" s="69">
        <v>215.4139782</v>
      </c>
    </row>
    <row r="20" spans="1:26">
      <c r="A20" s="72">
        <v>17</v>
      </c>
      <c r="C20" s="69">
        <v>128</v>
      </c>
      <c r="D20" s="69">
        <v>162</v>
      </c>
      <c r="E20" s="69">
        <v>208</v>
      </c>
      <c r="F20" s="73">
        <v>242</v>
      </c>
      <c r="G20" s="69">
        <v>107.7123924</v>
      </c>
      <c r="H20" s="69">
        <v>131.9157032</v>
      </c>
      <c r="I20" s="69">
        <v>163.91073969999999</v>
      </c>
      <c r="J20" s="69">
        <v>188.11405049999999</v>
      </c>
      <c r="K20" s="78">
        <v>87.255610730000001</v>
      </c>
      <c r="L20" s="69">
        <v>128.4765031</v>
      </c>
      <c r="M20" s="69">
        <v>182.96755880000001</v>
      </c>
      <c r="N20" s="73">
        <v>224.18845110000001</v>
      </c>
      <c r="O20" s="69">
        <v>103.2286799</v>
      </c>
      <c r="P20" s="69">
        <v>124.18324269999999</v>
      </c>
      <c r="Q20" s="69">
        <v>151.88366790000001</v>
      </c>
      <c r="R20" s="69">
        <v>172.8382306</v>
      </c>
      <c r="S20" s="69">
        <v>115.659741</v>
      </c>
      <c r="T20" s="69">
        <v>146.87690409999999</v>
      </c>
      <c r="U20" s="69">
        <v>188.14374889999999</v>
      </c>
      <c r="V20" s="69">
        <v>219.36091200000001</v>
      </c>
      <c r="W20" s="69">
        <v>119.9385068</v>
      </c>
      <c r="X20" s="69">
        <v>146.30254640000001</v>
      </c>
      <c r="Y20" s="69">
        <v>181.15391099999999</v>
      </c>
      <c r="Z20" s="69">
        <v>207.51795050000001</v>
      </c>
    </row>
    <row r="21" spans="1:26">
      <c r="A21" s="72">
        <v>18</v>
      </c>
      <c r="C21" s="69">
        <v>124</v>
      </c>
      <c r="D21" s="69">
        <v>157</v>
      </c>
      <c r="E21" s="69">
        <v>201</v>
      </c>
      <c r="F21" s="73">
        <v>234</v>
      </c>
      <c r="G21" s="69">
        <v>103.965932</v>
      </c>
      <c r="H21" s="69">
        <v>127.3931724</v>
      </c>
      <c r="I21" s="69">
        <v>158.3622996</v>
      </c>
      <c r="J21" s="69">
        <v>181.78953999999999</v>
      </c>
      <c r="K21" s="78">
        <v>84.468343700000005</v>
      </c>
      <c r="L21" s="69">
        <v>123.82684860000001</v>
      </c>
      <c r="M21" s="69">
        <v>175.8559621</v>
      </c>
      <c r="N21" s="73">
        <v>215.21446700000001</v>
      </c>
      <c r="O21" s="69">
        <v>100.0881019</v>
      </c>
      <c r="P21" s="69">
        <v>120.54502650000001</v>
      </c>
      <c r="Q21" s="69">
        <v>147.58760989999999</v>
      </c>
      <c r="R21" s="69">
        <v>168.04453459999999</v>
      </c>
      <c r="S21" s="69">
        <v>111.9114573</v>
      </c>
      <c r="T21" s="69">
        <v>142.15344680000001</v>
      </c>
      <c r="U21" s="69">
        <v>182.13118230000001</v>
      </c>
      <c r="V21" s="69">
        <v>212.37317179999999</v>
      </c>
      <c r="W21" s="69">
        <v>115.8337519</v>
      </c>
      <c r="X21" s="69">
        <v>141.2722723</v>
      </c>
      <c r="Y21" s="69">
        <v>174.90016700000001</v>
      </c>
      <c r="Z21" s="69">
        <v>200.3386874</v>
      </c>
    </row>
    <row r="22" spans="1:26">
      <c r="A22" s="72">
        <v>19</v>
      </c>
      <c r="C22" s="69">
        <v>120</v>
      </c>
      <c r="D22" s="69">
        <v>152</v>
      </c>
      <c r="E22" s="69">
        <v>195</v>
      </c>
      <c r="F22" s="73">
        <v>227</v>
      </c>
      <c r="G22" s="69">
        <v>100.54208970000001</v>
      </c>
      <c r="H22" s="69">
        <v>123.2581459</v>
      </c>
      <c r="I22" s="69">
        <v>153.2871389</v>
      </c>
      <c r="J22" s="69">
        <v>176.0031951</v>
      </c>
      <c r="K22" s="78">
        <v>81.913805960000005</v>
      </c>
      <c r="L22" s="69">
        <v>119.58814839999999</v>
      </c>
      <c r="M22" s="69">
        <v>169.39092009999999</v>
      </c>
      <c r="N22" s="73">
        <v>207.06526260000001</v>
      </c>
      <c r="O22" s="69">
        <v>97.205354679999999</v>
      </c>
      <c r="P22" s="69">
        <v>117.2024354</v>
      </c>
      <c r="Q22" s="69">
        <v>143.6371383</v>
      </c>
      <c r="R22" s="69">
        <v>163.6342191</v>
      </c>
      <c r="S22" s="69">
        <v>108.47774819999999</v>
      </c>
      <c r="T22" s="69">
        <v>137.82535480000001</v>
      </c>
      <c r="U22" s="69">
        <v>176.6207804</v>
      </c>
      <c r="V22" s="69">
        <v>205.96838700000001</v>
      </c>
      <c r="W22" s="69">
        <v>112.08035719999999</v>
      </c>
      <c r="X22" s="69">
        <v>136.67333310000001</v>
      </c>
      <c r="Y22" s="69">
        <v>169.18347890000001</v>
      </c>
      <c r="Z22" s="69">
        <v>193.77645480000001</v>
      </c>
    </row>
    <row r="23" spans="1:26">
      <c r="A23" s="72">
        <v>20</v>
      </c>
      <c r="C23" s="69">
        <v>116</v>
      </c>
      <c r="D23" s="69">
        <v>148</v>
      </c>
      <c r="E23" s="69">
        <v>189</v>
      </c>
      <c r="F23" s="73">
        <v>221</v>
      </c>
      <c r="G23" s="69">
        <v>97.398193509999999</v>
      </c>
      <c r="H23" s="69">
        <v>119.4595199</v>
      </c>
      <c r="I23" s="69">
        <v>148.6230071</v>
      </c>
      <c r="J23" s="69">
        <v>170.68433350000001</v>
      </c>
      <c r="K23" s="78">
        <v>79.561778369999999</v>
      </c>
      <c r="L23" s="69">
        <v>115.7050285</v>
      </c>
      <c r="M23" s="69">
        <v>163.4838063</v>
      </c>
      <c r="N23" s="73">
        <v>199.62705639999999</v>
      </c>
      <c r="O23" s="69">
        <v>94.547294050000005</v>
      </c>
      <c r="P23" s="69">
        <v>114.1176818</v>
      </c>
      <c r="Q23" s="69">
        <v>139.98832709999999</v>
      </c>
      <c r="R23" s="69">
        <v>159.55871490000001</v>
      </c>
      <c r="S23" s="69">
        <v>105.3176428</v>
      </c>
      <c r="T23" s="69">
        <v>133.84121519999999</v>
      </c>
      <c r="U23" s="69">
        <v>171.547327</v>
      </c>
      <c r="V23" s="69">
        <v>200.0708994</v>
      </c>
      <c r="W23" s="69">
        <v>108.63201650000001</v>
      </c>
      <c r="X23" s="69">
        <v>132.4488226</v>
      </c>
      <c r="Y23" s="69">
        <v>163.9329276</v>
      </c>
      <c r="Z23" s="69">
        <v>187.74973370000001</v>
      </c>
    </row>
    <row r="24" spans="1:26">
      <c r="A24" s="72">
        <v>21</v>
      </c>
      <c r="C24" s="69">
        <v>113</v>
      </c>
      <c r="D24" s="69">
        <v>144</v>
      </c>
      <c r="E24" s="69">
        <v>184</v>
      </c>
      <c r="F24" s="73">
        <v>214</v>
      </c>
      <c r="G24" s="69">
        <v>94.498996109999993</v>
      </c>
      <c r="H24" s="69">
        <v>115.9550639</v>
      </c>
      <c r="I24" s="69">
        <v>144.31844280000001</v>
      </c>
      <c r="J24" s="69">
        <v>165.77451070000001</v>
      </c>
      <c r="K24" s="78">
        <v>77.387231670000006</v>
      </c>
      <c r="L24" s="69">
        <v>112.131889</v>
      </c>
      <c r="M24" s="69">
        <v>158.0618278</v>
      </c>
      <c r="N24" s="73">
        <v>192.8064851</v>
      </c>
      <c r="O24" s="69">
        <v>92.086428060000003</v>
      </c>
      <c r="P24" s="69">
        <v>111.25939750000001</v>
      </c>
      <c r="Q24" s="69">
        <v>136.60468449999999</v>
      </c>
      <c r="R24" s="69">
        <v>155.77765389999999</v>
      </c>
      <c r="S24" s="69">
        <v>102.3972215</v>
      </c>
      <c r="T24" s="69">
        <v>130.15845419999999</v>
      </c>
      <c r="U24" s="69">
        <v>166.85680780000001</v>
      </c>
      <c r="V24" s="69">
        <v>194.6180406</v>
      </c>
      <c r="W24" s="69">
        <v>105.4504598</v>
      </c>
      <c r="X24" s="69">
        <v>128.55171759999999</v>
      </c>
      <c r="Y24" s="69">
        <v>159.08991929999999</v>
      </c>
      <c r="Z24" s="69">
        <v>182.19117700000001</v>
      </c>
    </row>
    <row r="25" spans="1:26">
      <c r="A25" s="72">
        <v>22</v>
      </c>
      <c r="C25" s="69">
        <v>110</v>
      </c>
      <c r="D25" s="69">
        <v>140</v>
      </c>
      <c r="E25" s="69">
        <v>179</v>
      </c>
      <c r="F25" s="73">
        <v>209</v>
      </c>
      <c r="G25" s="69">
        <v>91.81510145</v>
      </c>
      <c r="H25" s="69">
        <v>112.70954380000001</v>
      </c>
      <c r="I25" s="69">
        <v>140.33049410000001</v>
      </c>
      <c r="J25" s="69">
        <v>161.22493639999999</v>
      </c>
      <c r="K25" s="78">
        <v>75.369237670000004</v>
      </c>
      <c r="L25" s="69">
        <v>108.8308088</v>
      </c>
      <c r="M25" s="69">
        <v>153.0645998</v>
      </c>
      <c r="N25" s="73">
        <v>186.52617090000001</v>
      </c>
      <c r="O25" s="69">
        <v>89.799737629999996</v>
      </c>
      <c r="P25" s="69">
        <v>108.6012985</v>
      </c>
      <c r="Q25" s="69">
        <v>133.45561000000001</v>
      </c>
      <c r="R25" s="69">
        <v>152.25717090000001</v>
      </c>
      <c r="S25" s="69">
        <v>99.688134480000002</v>
      </c>
      <c r="T25" s="69">
        <v>126.7414811</v>
      </c>
      <c r="U25" s="69">
        <v>162.5040601</v>
      </c>
      <c r="V25" s="69">
        <v>189.5574067</v>
      </c>
      <c r="W25" s="69">
        <v>102.5037543</v>
      </c>
      <c r="X25" s="69">
        <v>124.9427874</v>
      </c>
      <c r="Y25" s="69">
        <v>154.6055758</v>
      </c>
      <c r="Z25" s="69">
        <v>177.04460900000001</v>
      </c>
    </row>
    <row r="26" spans="1:26">
      <c r="A26" s="72">
        <v>23</v>
      </c>
      <c r="C26" s="69">
        <v>107</v>
      </c>
      <c r="D26" s="69">
        <v>136</v>
      </c>
      <c r="E26" s="69">
        <v>175</v>
      </c>
      <c r="F26" s="73">
        <v>204</v>
      </c>
      <c r="G26" s="69">
        <v>89.321779399999997</v>
      </c>
      <c r="H26" s="69">
        <v>109.69330619999999</v>
      </c>
      <c r="I26" s="69">
        <v>136.62299970000001</v>
      </c>
      <c r="J26" s="69">
        <v>156.99452650000001</v>
      </c>
      <c r="K26" s="78">
        <v>73.490146699999997</v>
      </c>
      <c r="L26" s="69">
        <v>105.76997129999999</v>
      </c>
      <c r="M26" s="69">
        <v>148.4415784</v>
      </c>
      <c r="N26" s="73">
        <v>180.7214031</v>
      </c>
      <c r="O26" s="69">
        <v>87.6677842</v>
      </c>
      <c r="P26" s="69">
        <v>106.121173</v>
      </c>
      <c r="Q26" s="69">
        <v>130.5152262</v>
      </c>
      <c r="R26" s="69">
        <v>148.968615</v>
      </c>
      <c r="S26" s="69">
        <v>97.166482740000006</v>
      </c>
      <c r="T26" s="69">
        <v>123.5602863</v>
      </c>
      <c r="U26" s="69">
        <v>158.45099690000001</v>
      </c>
      <c r="V26" s="69">
        <v>184.84480049999999</v>
      </c>
      <c r="W26" s="69">
        <v>99.765022290000005</v>
      </c>
      <c r="X26" s="69">
        <v>121.5890168</v>
      </c>
      <c r="Y26" s="69">
        <v>150.43876829999999</v>
      </c>
      <c r="Z26" s="69">
        <v>172.26276279999999</v>
      </c>
    </row>
    <row r="27" spans="1:26">
      <c r="A27" s="72">
        <v>24</v>
      </c>
      <c r="C27" s="69">
        <v>105</v>
      </c>
      <c r="D27" s="69">
        <v>133</v>
      </c>
      <c r="E27" s="69">
        <v>170</v>
      </c>
      <c r="F27" s="73">
        <v>199</v>
      </c>
      <c r="G27" s="69">
        <v>86.998060120000005</v>
      </c>
      <c r="H27" s="69">
        <v>106.8811973</v>
      </c>
      <c r="I27" s="69">
        <v>133.16527500000001</v>
      </c>
      <c r="J27" s="69">
        <v>153.0484122</v>
      </c>
      <c r="K27" s="78">
        <v>71.734957629999997</v>
      </c>
      <c r="L27" s="69">
        <v>102.9224664</v>
      </c>
      <c r="M27" s="69">
        <v>144.15011039999999</v>
      </c>
      <c r="N27" s="73">
        <v>175.33761920000001</v>
      </c>
      <c r="O27" s="69">
        <v>85.674025499999999</v>
      </c>
      <c r="P27" s="69">
        <v>103.800106</v>
      </c>
      <c r="Q27" s="69">
        <v>127.7614811</v>
      </c>
      <c r="R27" s="69">
        <v>145.88756169999999</v>
      </c>
      <c r="S27" s="69">
        <v>94.811961319999995</v>
      </c>
      <c r="T27" s="69">
        <v>120.5893686</v>
      </c>
      <c r="U27" s="69">
        <v>154.66524759999999</v>
      </c>
      <c r="V27" s="69">
        <v>180.44265490000001</v>
      </c>
      <c r="W27" s="69">
        <v>97.211462830000002</v>
      </c>
      <c r="X27" s="69">
        <v>118.4624015</v>
      </c>
      <c r="Y27" s="69">
        <v>146.55461439999999</v>
      </c>
      <c r="Z27" s="69">
        <v>167.8055531</v>
      </c>
    </row>
    <row r="28" spans="1:26">
      <c r="A28" s="72">
        <v>25</v>
      </c>
      <c r="C28" s="69">
        <v>102</v>
      </c>
      <c r="D28" s="69">
        <v>130</v>
      </c>
      <c r="E28" s="69">
        <v>166</v>
      </c>
      <c r="F28" s="73">
        <v>194</v>
      </c>
      <c r="G28" s="69">
        <v>84.826033780000003</v>
      </c>
      <c r="H28" s="69">
        <v>104.2517264</v>
      </c>
      <c r="I28" s="69">
        <v>129.93109519999999</v>
      </c>
      <c r="J28" s="69">
        <v>149.35678780000001</v>
      </c>
      <c r="K28" s="78">
        <v>70.090829589999998</v>
      </c>
      <c r="L28" s="69">
        <v>100.2653655</v>
      </c>
      <c r="M28" s="69">
        <v>140.1539324</v>
      </c>
      <c r="N28" s="73">
        <v>170.3284683</v>
      </c>
      <c r="O28" s="69">
        <v>83.804284449999997</v>
      </c>
      <c r="P28" s="69">
        <v>101.62187609999999</v>
      </c>
      <c r="Q28" s="69">
        <v>125.175451</v>
      </c>
      <c r="R28" s="69">
        <v>142.99304269999999</v>
      </c>
      <c r="S28" s="69">
        <v>92.607195649999994</v>
      </c>
      <c r="T28" s="69">
        <v>117.8069028</v>
      </c>
      <c r="U28" s="69">
        <v>151.11910359999999</v>
      </c>
      <c r="V28" s="69">
        <v>176.3188107</v>
      </c>
      <c r="W28" s="69">
        <v>94.823593310000007</v>
      </c>
      <c r="X28" s="69">
        <v>115.5390163</v>
      </c>
      <c r="Y28" s="69">
        <v>142.92331590000001</v>
      </c>
      <c r="Z28" s="69">
        <v>163.63873889999999</v>
      </c>
    </row>
    <row r="29" spans="1:26">
      <c r="A29" s="72">
        <v>26</v>
      </c>
      <c r="C29" s="69">
        <v>100</v>
      </c>
      <c r="D29" s="69">
        <v>127</v>
      </c>
      <c r="E29" s="69">
        <v>163</v>
      </c>
      <c r="F29" s="73">
        <v>190</v>
      </c>
      <c r="G29" s="69">
        <v>82.790302670000003</v>
      </c>
      <c r="H29" s="69">
        <v>101.7864105</v>
      </c>
      <c r="I29" s="69">
        <v>126.8978991</v>
      </c>
      <c r="J29" s="69">
        <v>145.89400689999999</v>
      </c>
      <c r="K29" s="78">
        <v>68.546699070000003</v>
      </c>
      <c r="L29" s="69">
        <v>97.779001179999995</v>
      </c>
      <c r="M29" s="69">
        <v>136.42200260000001</v>
      </c>
      <c r="N29" s="73">
        <v>165.65430470000001</v>
      </c>
      <c r="O29" s="69">
        <v>82.046332300000003</v>
      </c>
      <c r="P29" s="69">
        <v>99.572482230000006</v>
      </c>
      <c r="Q29" s="69">
        <v>122.7407922</v>
      </c>
      <c r="R29" s="69">
        <v>140.26694209999999</v>
      </c>
      <c r="S29" s="69">
        <v>90.537221380000005</v>
      </c>
      <c r="T29" s="69">
        <v>115.19408780000001</v>
      </c>
      <c r="U29" s="69">
        <v>147.78869230000001</v>
      </c>
      <c r="V29" s="69">
        <v>172.44555879999999</v>
      </c>
      <c r="W29" s="69">
        <v>92.584656859999996</v>
      </c>
      <c r="X29" s="69">
        <v>112.7982856</v>
      </c>
      <c r="Y29" s="69">
        <v>139.51924930000001</v>
      </c>
      <c r="Z29" s="69">
        <v>159.732878</v>
      </c>
    </row>
    <row r="30" spans="1:26">
      <c r="A30" s="72">
        <v>27</v>
      </c>
      <c r="C30" s="69">
        <v>98</v>
      </c>
      <c r="D30" s="69">
        <v>124</v>
      </c>
      <c r="E30" s="69">
        <v>159</v>
      </c>
      <c r="F30" s="73">
        <v>186</v>
      </c>
      <c r="G30" s="69">
        <v>80.877548239999996</v>
      </c>
      <c r="H30" s="69">
        <v>99.469257299999995</v>
      </c>
      <c r="I30" s="69">
        <v>124.0461598</v>
      </c>
      <c r="J30" s="69">
        <v>142.6378689</v>
      </c>
      <c r="K30" s="78">
        <v>67.092976770000007</v>
      </c>
      <c r="L30" s="69">
        <v>95.446398079999994</v>
      </c>
      <c r="M30" s="69">
        <v>132.92758230000001</v>
      </c>
      <c r="N30" s="73">
        <v>161.28100359999999</v>
      </c>
      <c r="O30" s="69">
        <v>80.389558039999997</v>
      </c>
      <c r="P30" s="69">
        <v>97.639768250000003</v>
      </c>
      <c r="Q30" s="69">
        <v>120.4433058</v>
      </c>
      <c r="R30" s="69">
        <v>137.69351599999999</v>
      </c>
      <c r="S30" s="69">
        <v>88.589072430000002</v>
      </c>
      <c r="T30" s="69">
        <v>112.7346306</v>
      </c>
      <c r="U30" s="69">
        <v>144.65332240000001</v>
      </c>
      <c r="V30" s="69">
        <v>168.79888059999999</v>
      </c>
      <c r="W30" s="69">
        <v>90.480153389999998</v>
      </c>
      <c r="X30" s="69">
        <v>110.22240720000001</v>
      </c>
      <c r="Y30" s="69">
        <v>136.32024709999999</v>
      </c>
      <c r="Z30" s="69">
        <v>156.06250080000001</v>
      </c>
    </row>
    <row r="31" spans="1:26">
      <c r="A31" s="72">
        <v>28</v>
      </c>
      <c r="C31" s="69">
        <v>96</v>
      </c>
      <c r="D31" s="69">
        <v>122</v>
      </c>
      <c r="E31" s="69">
        <v>156</v>
      </c>
      <c r="F31" s="73">
        <v>182</v>
      </c>
      <c r="G31" s="69">
        <v>79.076185690000003</v>
      </c>
      <c r="H31" s="69">
        <v>97.286351870000004</v>
      </c>
      <c r="I31" s="69">
        <v>121.3588822</v>
      </c>
      <c r="J31" s="69">
        <v>139.56904840000001</v>
      </c>
      <c r="K31" s="78">
        <v>65.72130507</v>
      </c>
      <c r="L31" s="69">
        <v>93.252821019999999</v>
      </c>
      <c r="M31" s="69">
        <v>129.6475054</v>
      </c>
      <c r="N31" s="73">
        <v>157.17902140000001</v>
      </c>
      <c r="O31" s="69">
        <v>78.824703810000003</v>
      </c>
      <c r="P31" s="69">
        <v>95.813121879999997</v>
      </c>
      <c r="Q31" s="69">
        <v>118.270589</v>
      </c>
      <c r="R31" s="69">
        <v>135.25900709999999</v>
      </c>
      <c r="S31" s="69">
        <v>86.751451880000005</v>
      </c>
      <c r="T31" s="69">
        <v>110.41433309999999</v>
      </c>
      <c r="U31" s="69">
        <v>141.69496050000001</v>
      </c>
      <c r="V31" s="69">
        <v>165.35784169999999</v>
      </c>
      <c r="W31" s="69">
        <v>88.497465439999999</v>
      </c>
      <c r="X31" s="69">
        <v>107.79589180000001</v>
      </c>
      <c r="Y31" s="69">
        <v>133.3070238</v>
      </c>
      <c r="Z31" s="69">
        <v>152.60545020000001</v>
      </c>
    </row>
    <row r="32" spans="1:26">
      <c r="A32" s="72">
        <v>29</v>
      </c>
      <c r="C32" s="69">
        <v>94</v>
      </c>
      <c r="D32" s="69">
        <v>119</v>
      </c>
      <c r="E32" s="69">
        <v>153</v>
      </c>
      <c r="F32" s="73">
        <v>178</v>
      </c>
      <c r="G32" s="69">
        <v>77.376085869999997</v>
      </c>
      <c r="H32" s="69">
        <v>95.225523969999998</v>
      </c>
      <c r="I32" s="69">
        <v>118.8211977</v>
      </c>
      <c r="J32" s="69">
        <v>136.67063580000001</v>
      </c>
      <c r="K32" s="78">
        <v>64.424362599999995</v>
      </c>
      <c r="L32" s="69">
        <v>91.185411439999996</v>
      </c>
      <c r="M32" s="69">
        <v>126.5615937</v>
      </c>
      <c r="N32" s="73">
        <v>153.32264259999999</v>
      </c>
      <c r="O32" s="69">
        <v>77.343651300000005</v>
      </c>
      <c r="P32" s="69">
        <v>94.083231810000001</v>
      </c>
      <c r="Q32" s="69">
        <v>116.21175359999999</v>
      </c>
      <c r="R32" s="69">
        <v>132.9513341</v>
      </c>
      <c r="S32" s="69">
        <v>85.014466490000004</v>
      </c>
      <c r="T32" s="69">
        <v>108.2207593</v>
      </c>
      <c r="U32" s="69">
        <v>138.89780970000001</v>
      </c>
      <c r="V32" s="69">
        <v>162.10410239999999</v>
      </c>
      <c r="W32" s="69">
        <v>86.62555682</v>
      </c>
      <c r="X32" s="69">
        <v>105.5051931</v>
      </c>
      <c r="Y32" s="69">
        <v>130.46271469999999</v>
      </c>
      <c r="Z32" s="69">
        <v>149.34235090000001</v>
      </c>
    </row>
    <row r="33" spans="1:26">
      <c r="A33" s="72">
        <v>30</v>
      </c>
      <c r="C33" s="69">
        <v>92</v>
      </c>
      <c r="D33" s="69">
        <v>117</v>
      </c>
      <c r="E33" s="69">
        <v>150</v>
      </c>
      <c r="F33" s="73">
        <v>175</v>
      </c>
      <c r="G33" s="69">
        <v>75.768349709999995</v>
      </c>
      <c r="H33" s="69">
        <v>93.27607811</v>
      </c>
      <c r="I33" s="69">
        <v>116.4200362</v>
      </c>
      <c r="J33" s="69">
        <v>133.92776459999999</v>
      </c>
      <c r="K33" s="78">
        <v>63.195705199999999</v>
      </c>
      <c r="L33" s="69">
        <v>89.232893369999999</v>
      </c>
      <c r="M33" s="69">
        <v>123.6521839</v>
      </c>
      <c r="N33" s="73">
        <v>149.68937210000001</v>
      </c>
      <c r="O33" s="69">
        <v>75.93924792</v>
      </c>
      <c r="P33" s="69">
        <v>92.441889829999994</v>
      </c>
      <c r="Q33" s="69">
        <v>114.25719580000001</v>
      </c>
      <c r="R33" s="69">
        <v>130.75983769999999</v>
      </c>
      <c r="S33" s="69">
        <v>83.369411060000004</v>
      </c>
      <c r="T33" s="69">
        <v>106.142965</v>
      </c>
      <c r="U33" s="69">
        <v>136.24796570000001</v>
      </c>
      <c r="V33" s="69">
        <v>159.0215196</v>
      </c>
      <c r="W33" s="69">
        <v>84.854728030000004</v>
      </c>
      <c r="X33" s="69">
        <v>103.3384064</v>
      </c>
      <c r="Y33" s="69">
        <v>127.7725002</v>
      </c>
      <c r="Z33" s="69">
        <v>146.2561786</v>
      </c>
    </row>
    <row r="34" spans="1:26">
      <c r="A34" s="72">
        <v>31</v>
      </c>
      <c r="C34" s="69">
        <v>90</v>
      </c>
      <c r="D34" s="69">
        <v>115</v>
      </c>
      <c r="E34" s="69">
        <v>147</v>
      </c>
      <c r="F34" s="73">
        <v>172</v>
      </c>
      <c r="G34" s="69">
        <v>74.24512369</v>
      </c>
      <c r="H34" s="69">
        <v>91.428572779999996</v>
      </c>
      <c r="I34" s="69">
        <v>114.1438569</v>
      </c>
      <c r="J34" s="69">
        <v>131.32730599999999</v>
      </c>
      <c r="K34" s="78">
        <v>62.029635769999999</v>
      </c>
      <c r="L34" s="69">
        <v>87.385333419999995</v>
      </c>
      <c r="M34" s="69">
        <v>120.90374250000001</v>
      </c>
      <c r="N34" s="73">
        <v>146.25944010000001</v>
      </c>
      <c r="O34" s="69">
        <v>74.605164209999998</v>
      </c>
      <c r="P34" s="69">
        <v>90.881828479999996</v>
      </c>
      <c r="Q34" s="69">
        <v>112.3984083</v>
      </c>
      <c r="R34" s="69">
        <v>128.6750725</v>
      </c>
      <c r="S34" s="69">
        <v>81.808591759999999</v>
      </c>
      <c r="T34" s="69">
        <v>104.17127600000001</v>
      </c>
      <c r="U34" s="69">
        <v>133.73313659999999</v>
      </c>
      <c r="V34" s="69">
        <v>156.09582090000001</v>
      </c>
      <c r="W34" s="69">
        <v>83.176416219999993</v>
      </c>
      <c r="X34" s="69">
        <v>101.28502349999999</v>
      </c>
      <c r="Y34" s="69">
        <v>125.2233001</v>
      </c>
      <c r="Z34" s="69">
        <v>143.33190740000001</v>
      </c>
    </row>
    <row r="35" spans="1:26">
      <c r="A35" s="72">
        <v>32</v>
      </c>
      <c r="C35" s="69">
        <v>89</v>
      </c>
      <c r="D35" s="69">
        <v>113</v>
      </c>
      <c r="E35" s="69">
        <v>144</v>
      </c>
      <c r="F35" s="73">
        <v>168</v>
      </c>
      <c r="G35" s="69">
        <v>72.799448040000001</v>
      </c>
      <c r="H35" s="69">
        <v>89.674638560000005</v>
      </c>
      <c r="I35" s="69">
        <v>111.982427</v>
      </c>
      <c r="J35" s="69">
        <v>128.8576176</v>
      </c>
      <c r="K35" s="78">
        <v>60.921096849999998</v>
      </c>
      <c r="L35" s="69">
        <v>85.633943639999998</v>
      </c>
      <c r="M35" s="69">
        <v>118.3025501</v>
      </c>
      <c r="N35" s="73">
        <v>143.01539690000001</v>
      </c>
      <c r="O35" s="69">
        <v>73.335776240000001</v>
      </c>
      <c r="P35" s="69">
        <v>89.396586999999997</v>
      </c>
      <c r="Q35" s="69">
        <v>110.627824</v>
      </c>
      <c r="R35" s="69">
        <v>126.68863469999999</v>
      </c>
      <c r="S35" s="69">
        <v>80.325180529999997</v>
      </c>
      <c r="T35" s="69">
        <v>102.29710559999999</v>
      </c>
      <c r="U35" s="69">
        <v>131.34241069999999</v>
      </c>
      <c r="V35" s="69">
        <v>153.31433580000001</v>
      </c>
      <c r="W35" s="69">
        <v>81.583030399999998</v>
      </c>
      <c r="X35" s="69">
        <v>99.335729409999999</v>
      </c>
      <c r="Y35" s="69">
        <v>122.803521</v>
      </c>
      <c r="Z35" s="69">
        <v>140.55622</v>
      </c>
    </row>
    <row r="36" spans="1:26">
      <c r="A36" s="72">
        <v>33</v>
      </c>
      <c r="C36" s="69">
        <v>87</v>
      </c>
      <c r="D36" s="69">
        <v>111</v>
      </c>
      <c r="E36" s="69">
        <v>142</v>
      </c>
      <c r="F36" s="73">
        <v>166</v>
      </c>
      <c r="G36" s="69">
        <v>71.425130839999994</v>
      </c>
      <c r="H36" s="69">
        <v>88.006827470000005</v>
      </c>
      <c r="I36" s="69">
        <v>109.92663810000001</v>
      </c>
      <c r="J36" s="69">
        <v>126.50833470000001</v>
      </c>
      <c r="K36" s="78">
        <v>59.865581480000003</v>
      </c>
      <c r="L36" s="69">
        <v>83.970918459999993</v>
      </c>
      <c r="M36" s="69">
        <v>115.8364406</v>
      </c>
      <c r="N36" s="73">
        <v>139.94177759999999</v>
      </c>
      <c r="O36" s="69">
        <v>72.12606778</v>
      </c>
      <c r="P36" s="69">
        <v>87.980399869999999</v>
      </c>
      <c r="Q36" s="69">
        <v>108.93868689999999</v>
      </c>
      <c r="R36" s="69">
        <v>124.793019</v>
      </c>
      <c r="S36" s="69">
        <v>78.913094169999994</v>
      </c>
      <c r="T36" s="69">
        <v>100.5128026</v>
      </c>
      <c r="U36" s="69">
        <v>129.06606400000001</v>
      </c>
      <c r="V36" s="69">
        <v>150.66577240000001</v>
      </c>
      <c r="W36" s="69">
        <v>80.067814900000002</v>
      </c>
      <c r="X36" s="69">
        <v>97.482235270000004</v>
      </c>
      <c r="Y36" s="69">
        <v>120.5028468</v>
      </c>
      <c r="Z36" s="69">
        <v>137.9172672</v>
      </c>
    </row>
    <row r="37" spans="1:26">
      <c r="A37" s="72">
        <v>34</v>
      </c>
      <c r="C37" s="69">
        <v>85</v>
      </c>
      <c r="D37" s="69">
        <v>109</v>
      </c>
      <c r="E37" s="69">
        <v>139</v>
      </c>
      <c r="F37" s="73">
        <v>163</v>
      </c>
      <c r="G37" s="69">
        <v>70.116643139999994</v>
      </c>
      <c r="H37" s="69">
        <v>86.41848718</v>
      </c>
      <c r="I37" s="69">
        <v>107.96835280000001</v>
      </c>
      <c r="J37" s="69">
        <v>124.2701969</v>
      </c>
      <c r="K37" s="78">
        <v>58.859058779999998</v>
      </c>
      <c r="L37" s="69">
        <v>82.389298929999995</v>
      </c>
      <c r="M37" s="69">
        <v>113.4945845</v>
      </c>
      <c r="N37" s="73">
        <v>137.02482459999999</v>
      </c>
      <c r="O37" s="69">
        <v>70.971548580000004</v>
      </c>
      <c r="P37" s="69">
        <v>86.628103620000005</v>
      </c>
      <c r="Q37" s="69">
        <v>107.3249436</v>
      </c>
      <c r="R37" s="69">
        <v>122.98149859999999</v>
      </c>
      <c r="S37" s="69">
        <v>77.566893489999998</v>
      </c>
      <c r="T37" s="69">
        <v>98.811524879999993</v>
      </c>
      <c r="U37" s="69">
        <v>126.8954</v>
      </c>
      <c r="V37" s="69">
        <v>148.1400314</v>
      </c>
      <c r="W37" s="69">
        <v>78.62473541</v>
      </c>
      <c r="X37" s="69">
        <v>95.717137840000007</v>
      </c>
      <c r="Y37" s="69">
        <v>118.3120648</v>
      </c>
      <c r="Z37" s="69">
        <v>135.40446729999999</v>
      </c>
    </row>
    <row r="38" spans="1:26">
      <c r="A38" s="72">
        <v>35</v>
      </c>
      <c r="C38" s="69">
        <v>84</v>
      </c>
      <c r="D38" s="69">
        <v>107</v>
      </c>
      <c r="E38" s="69">
        <v>137</v>
      </c>
      <c r="F38" s="73">
        <v>160</v>
      </c>
      <c r="G38" s="69">
        <v>68.869030899999998</v>
      </c>
      <c r="H38" s="69">
        <v>84.903655650000005</v>
      </c>
      <c r="I38" s="69">
        <v>106.1002766</v>
      </c>
      <c r="J38" s="69">
        <v>122.1349013</v>
      </c>
      <c r="K38" s="78">
        <v>57.897911389999997</v>
      </c>
      <c r="L38" s="69">
        <v>80.882859199999999</v>
      </c>
      <c r="M38" s="69">
        <v>111.2673075</v>
      </c>
      <c r="N38" s="73">
        <v>134.2522553</v>
      </c>
      <c r="O38" s="69">
        <v>69.868185710000006</v>
      </c>
      <c r="P38" s="69">
        <v>85.335058419999996</v>
      </c>
      <c r="Q38" s="69">
        <v>105.78115200000001</v>
      </c>
      <c r="R38" s="69">
        <v>121.2480247</v>
      </c>
      <c r="S38" s="69">
        <v>76.281698550000002</v>
      </c>
      <c r="T38" s="69">
        <v>97.187133070000002</v>
      </c>
      <c r="U38" s="69">
        <v>124.8226143</v>
      </c>
      <c r="V38" s="69">
        <v>145.72804880000001</v>
      </c>
      <c r="W38" s="69">
        <v>77.248383500000003</v>
      </c>
      <c r="X38" s="69">
        <v>94.033802339999994</v>
      </c>
      <c r="Y38" s="69">
        <v>116.2229191</v>
      </c>
      <c r="Z38" s="69">
        <v>133.00833789999999</v>
      </c>
    </row>
    <row r="39" spans="1:26">
      <c r="A39" s="72">
        <v>36</v>
      </c>
      <c r="C39" s="69">
        <v>83</v>
      </c>
      <c r="D39" s="69">
        <v>105</v>
      </c>
      <c r="E39" s="69">
        <v>135</v>
      </c>
      <c r="F39" s="73">
        <v>157</v>
      </c>
      <c r="G39" s="69">
        <v>67.677840889999999</v>
      </c>
      <c r="H39" s="69">
        <v>83.456972190000002</v>
      </c>
      <c r="I39" s="69">
        <v>104.3158492</v>
      </c>
      <c r="J39" s="69">
        <v>120.09498050000001</v>
      </c>
      <c r="K39" s="78">
        <v>56.978882679999998</v>
      </c>
      <c r="L39" s="69">
        <v>79.446010869999995</v>
      </c>
      <c r="M39" s="69">
        <v>109.1459388</v>
      </c>
      <c r="N39" s="73">
        <v>131.613067</v>
      </c>
      <c r="O39" s="69">
        <v>68.812345469999997</v>
      </c>
      <c r="P39" s="69">
        <v>84.097081810000006</v>
      </c>
      <c r="Q39" s="69">
        <v>104.3024042</v>
      </c>
      <c r="R39" s="69">
        <v>119.5871405</v>
      </c>
      <c r="S39" s="69">
        <v>75.053117110000002</v>
      </c>
      <c r="T39" s="69">
        <v>95.634100660000001</v>
      </c>
      <c r="U39" s="69">
        <v>122.840681</v>
      </c>
      <c r="V39" s="69">
        <v>143.42166460000001</v>
      </c>
      <c r="W39" s="69">
        <v>75.933895960000001</v>
      </c>
      <c r="X39" s="69">
        <v>92.426263379999995</v>
      </c>
      <c r="Y39" s="69">
        <v>114.2279872</v>
      </c>
      <c r="Z39" s="69">
        <v>130.72035460000001</v>
      </c>
    </row>
    <row r="40" spans="1:26">
      <c r="A40" s="72">
        <v>37</v>
      </c>
      <c r="C40" s="69">
        <v>81</v>
      </c>
      <c r="D40" s="69">
        <v>104</v>
      </c>
      <c r="E40" s="69">
        <v>133</v>
      </c>
      <c r="F40" s="73">
        <v>155</v>
      </c>
      <c r="G40" s="69">
        <v>66.539057769999999</v>
      </c>
      <c r="H40" s="69">
        <v>82.073602109999996</v>
      </c>
      <c r="I40" s="69">
        <v>102.6091527</v>
      </c>
      <c r="J40" s="69">
        <v>118.143697</v>
      </c>
      <c r="K40" s="78">
        <v>56.099031949999997</v>
      </c>
      <c r="L40" s="69">
        <v>78.073722149999995</v>
      </c>
      <c r="M40" s="69">
        <v>107.1226825</v>
      </c>
      <c r="N40" s="73">
        <v>129.09737269999999</v>
      </c>
      <c r="O40" s="69">
        <v>67.800744089999995</v>
      </c>
      <c r="P40" s="69">
        <v>82.910392419999994</v>
      </c>
      <c r="Q40" s="69">
        <v>102.8842611</v>
      </c>
      <c r="R40" s="69">
        <v>117.99390940000001</v>
      </c>
      <c r="S40" s="69">
        <v>73.877184</v>
      </c>
      <c r="T40" s="69">
        <v>94.147437850000003</v>
      </c>
      <c r="U40" s="69">
        <v>120.9432559</v>
      </c>
      <c r="V40" s="69">
        <v>141.2135098</v>
      </c>
      <c r="W40" s="69">
        <v>74.676886569999994</v>
      </c>
      <c r="X40" s="69">
        <v>90.889141109999997</v>
      </c>
      <c r="Y40" s="69">
        <v>112.32057589999999</v>
      </c>
      <c r="Z40" s="69">
        <v>128.53283039999999</v>
      </c>
    </row>
    <row r="41" spans="1:26">
      <c r="A41" s="72">
        <v>38</v>
      </c>
      <c r="C41" s="69">
        <v>80</v>
      </c>
      <c r="D41" s="69">
        <v>102</v>
      </c>
      <c r="E41" s="69">
        <v>131</v>
      </c>
      <c r="F41" s="73">
        <v>153</v>
      </c>
      <c r="G41" s="69">
        <v>65.449050630000002</v>
      </c>
      <c r="H41" s="69">
        <v>80.749172549999997</v>
      </c>
      <c r="I41" s="69">
        <v>100.9748336</v>
      </c>
      <c r="J41" s="69">
        <v>116.2749555</v>
      </c>
      <c r="K41" s="78">
        <v>55.255696219999997</v>
      </c>
      <c r="L41" s="69">
        <v>76.761449110000001</v>
      </c>
      <c r="M41" s="69">
        <v>105.1905081</v>
      </c>
      <c r="N41" s="73">
        <v>126.69626100000001</v>
      </c>
      <c r="O41" s="69">
        <v>66.830405630000001</v>
      </c>
      <c r="P41" s="69">
        <v>81.771561860000006</v>
      </c>
      <c r="Q41" s="69">
        <v>101.522696</v>
      </c>
      <c r="R41" s="69">
        <v>116.4638523</v>
      </c>
      <c r="S41" s="69">
        <v>72.750309380000004</v>
      </c>
      <c r="T41" s="69">
        <v>92.722626610000006</v>
      </c>
      <c r="U41" s="69">
        <v>119.12459389999999</v>
      </c>
      <c r="V41" s="69">
        <v>139.0969111</v>
      </c>
      <c r="W41" s="69">
        <v>73.473387889999998</v>
      </c>
      <c r="X41" s="69">
        <v>89.417569729999997</v>
      </c>
      <c r="Y41" s="69">
        <v>110.4946317</v>
      </c>
      <c r="Z41" s="69">
        <v>126.43881349999999</v>
      </c>
    </row>
    <row r="42" spans="1:26">
      <c r="A42" s="72">
        <v>39</v>
      </c>
      <c r="C42" s="69">
        <v>79</v>
      </c>
      <c r="D42" s="69">
        <v>100</v>
      </c>
      <c r="E42" s="69">
        <v>129</v>
      </c>
      <c r="F42" s="73">
        <v>150</v>
      </c>
      <c r="G42" s="69">
        <v>64.404527220000006</v>
      </c>
      <c r="H42" s="69">
        <v>79.479717629999996</v>
      </c>
      <c r="I42" s="69">
        <v>99.408035380000001</v>
      </c>
      <c r="J42" s="69">
        <v>114.4832258</v>
      </c>
      <c r="K42" s="78">
        <v>54.446457539999997</v>
      </c>
      <c r="L42" s="69">
        <v>75.505076990000006</v>
      </c>
      <c r="M42" s="69">
        <v>103.3430577</v>
      </c>
      <c r="N42" s="73">
        <v>124.40167719999999</v>
      </c>
      <c r="O42" s="69">
        <v>65.898625989999999</v>
      </c>
      <c r="P42" s="69">
        <v>80.67747353</v>
      </c>
      <c r="Q42" s="69">
        <v>100.2140473</v>
      </c>
      <c r="R42" s="69">
        <v>114.9928948</v>
      </c>
      <c r="S42" s="69">
        <v>71.66923439</v>
      </c>
      <c r="T42" s="69">
        <v>91.35556502</v>
      </c>
      <c r="U42" s="69">
        <v>117.3794786</v>
      </c>
      <c r="V42" s="69">
        <v>137.06580919999999</v>
      </c>
      <c r="W42" s="69">
        <v>72.319801560000002</v>
      </c>
      <c r="X42" s="69">
        <v>88.007136450000004</v>
      </c>
      <c r="Y42" s="69">
        <v>108.7446652</v>
      </c>
      <c r="Z42" s="69">
        <v>124.432</v>
      </c>
    </row>
    <row r="43" spans="1:26">
      <c r="A43" s="72">
        <v>40</v>
      </c>
      <c r="C43" s="69">
        <v>78</v>
      </c>
      <c r="D43" s="69">
        <v>99</v>
      </c>
      <c r="E43" s="69">
        <v>127</v>
      </c>
      <c r="F43" s="73">
        <v>148</v>
      </c>
      <c r="G43" s="69">
        <v>63.402494599999997</v>
      </c>
      <c r="H43" s="69">
        <v>78.261631249999994</v>
      </c>
      <c r="I43" s="69">
        <v>97.904341439999996</v>
      </c>
      <c r="J43" s="69">
        <v>112.7634781</v>
      </c>
      <c r="K43" s="78">
        <v>53.669114810000004</v>
      </c>
      <c r="L43" s="69">
        <v>74.300869879999993</v>
      </c>
      <c r="M43" s="69">
        <v>101.5745666</v>
      </c>
      <c r="N43" s="73">
        <v>122.2063216</v>
      </c>
      <c r="O43" s="69">
        <v>65.002941800000002</v>
      </c>
      <c r="P43" s="69">
        <v>79.625287130000004</v>
      </c>
      <c r="Q43" s="69">
        <v>98.954976220000006</v>
      </c>
      <c r="R43" s="69">
        <v>113.5773215</v>
      </c>
      <c r="S43" s="69">
        <v>70.630993189999998</v>
      </c>
      <c r="T43" s="69">
        <v>90.042519510000005</v>
      </c>
      <c r="U43" s="69">
        <v>115.70316149999999</v>
      </c>
      <c r="V43" s="69">
        <v>135.11468780000001</v>
      </c>
      <c r="W43" s="69">
        <v>71.212855509999997</v>
      </c>
      <c r="X43" s="69">
        <v>86.653828910000001</v>
      </c>
      <c r="Y43" s="69">
        <v>107.0656855</v>
      </c>
      <c r="Z43" s="69">
        <v>122.50665890000001</v>
      </c>
    </row>
    <row r="44" spans="1:26">
      <c r="A44" s="72">
        <v>41</v>
      </c>
      <c r="C44" s="69">
        <v>77</v>
      </c>
      <c r="D44" s="69">
        <v>98</v>
      </c>
      <c r="E44" s="69">
        <v>125</v>
      </c>
      <c r="F44" s="73">
        <v>146</v>
      </c>
      <c r="G44" s="69">
        <v>62.440225339999998</v>
      </c>
      <c r="H44" s="69">
        <v>77.091626450000007</v>
      </c>
      <c r="I44" s="69">
        <v>96.459725219999996</v>
      </c>
      <c r="J44" s="69">
        <v>111.1111263</v>
      </c>
      <c r="K44" s="78">
        <v>52.921659529999999</v>
      </c>
      <c r="L44" s="69">
        <v>73.145427369999993</v>
      </c>
      <c r="M44" s="69">
        <v>99.879794259999997</v>
      </c>
      <c r="N44" s="73">
        <v>120.1035621</v>
      </c>
      <c r="O44" s="69">
        <v>64.141103639999997</v>
      </c>
      <c r="P44" s="69">
        <v>78.612407959999999</v>
      </c>
      <c r="Q44" s="69">
        <v>97.742431699999997</v>
      </c>
      <c r="R44" s="69">
        <v>112.213736</v>
      </c>
      <c r="S44" s="69">
        <v>69.632879959999997</v>
      </c>
      <c r="T44" s="69">
        <v>88.780083509999997</v>
      </c>
      <c r="U44" s="69">
        <v>114.0913098</v>
      </c>
      <c r="V44" s="69">
        <v>133.23851339999999</v>
      </c>
      <c r="W44" s="69">
        <v>70.149567129999994</v>
      </c>
      <c r="X44" s="69">
        <v>85.353989999999996</v>
      </c>
      <c r="Y44" s="69">
        <v>105.45314380000001</v>
      </c>
      <c r="Z44" s="69">
        <v>120.6575666</v>
      </c>
    </row>
    <row r="45" spans="1:26">
      <c r="A45" s="72">
        <v>42</v>
      </c>
      <c r="C45" s="69">
        <v>76</v>
      </c>
      <c r="D45" s="69">
        <v>96</v>
      </c>
      <c r="E45" s="69">
        <v>124</v>
      </c>
      <c r="F45" s="73">
        <v>144</v>
      </c>
      <c r="G45" s="69">
        <v>61.515228100000002</v>
      </c>
      <c r="H45" s="69">
        <v>75.966700239999994</v>
      </c>
      <c r="I45" s="69">
        <v>95.070507280000001</v>
      </c>
      <c r="J45" s="69">
        <v>109.52197940000001</v>
      </c>
      <c r="K45" s="78">
        <v>52.20225473</v>
      </c>
      <c r="L45" s="69">
        <v>72.035647089999998</v>
      </c>
      <c r="M45" s="69">
        <v>98.253965679999993</v>
      </c>
      <c r="N45" s="73">
        <v>118.08735799999999</v>
      </c>
      <c r="O45" s="69">
        <v>63.311052779999997</v>
      </c>
      <c r="P45" s="69">
        <v>77.636460339999999</v>
      </c>
      <c r="Q45" s="69">
        <v>96.573619059999999</v>
      </c>
      <c r="R45" s="69">
        <v>110.8990266</v>
      </c>
      <c r="S45" s="69">
        <v>68.672420509999995</v>
      </c>
      <c r="T45" s="69">
        <v>87.565141679999996</v>
      </c>
      <c r="U45" s="69">
        <v>112.5399606</v>
      </c>
      <c r="V45" s="69">
        <v>131.43268169999999</v>
      </c>
      <c r="W45" s="69">
        <v>69.127211320000001</v>
      </c>
      <c r="X45" s="69">
        <v>84.104278590000007</v>
      </c>
      <c r="Y45" s="69">
        <v>103.90288459999999</v>
      </c>
      <c r="Z45" s="69">
        <v>118.87995189999999</v>
      </c>
    </row>
    <row r="46" spans="1:26">
      <c r="A46" s="72">
        <v>43</v>
      </c>
      <c r="C46" s="69">
        <v>75</v>
      </c>
      <c r="D46" s="69">
        <v>95</v>
      </c>
      <c r="E46" s="69">
        <v>122</v>
      </c>
      <c r="F46" s="73">
        <v>142</v>
      </c>
      <c r="G46" s="69">
        <v>60.625222219999998</v>
      </c>
      <c r="H46" s="69">
        <v>74.884102949999999</v>
      </c>
      <c r="I46" s="69">
        <v>93.733317990000003</v>
      </c>
      <c r="J46" s="69">
        <v>107.9921987</v>
      </c>
      <c r="K46" s="78">
        <v>51.509216629999997</v>
      </c>
      <c r="L46" s="69">
        <v>70.968692239999996</v>
      </c>
      <c r="M46" s="69">
        <v>96.692719760000003</v>
      </c>
      <c r="N46" s="73">
        <v>116.1521954</v>
      </c>
      <c r="O46" s="69">
        <v>62.510900929999998</v>
      </c>
      <c r="P46" s="69">
        <v>76.695264420000001</v>
      </c>
      <c r="Q46" s="69">
        <v>95.445973019999997</v>
      </c>
      <c r="R46" s="69">
        <v>109.6303365</v>
      </c>
      <c r="S46" s="69">
        <v>67.74734746</v>
      </c>
      <c r="T46" s="69">
        <v>86.394838809999996</v>
      </c>
      <c r="U46" s="69">
        <v>111.04548149999999</v>
      </c>
      <c r="V46" s="69">
        <v>129.6929729</v>
      </c>
      <c r="W46" s="69">
        <v>68.143292790000004</v>
      </c>
      <c r="X46" s="69">
        <v>82.901635549999995</v>
      </c>
      <c r="Y46" s="69">
        <v>102.4111035</v>
      </c>
      <c r="Z46" s="69">
        <v>117.1694462</v>
      </c>
    </row>
    <row r="47" spans="1:26">
      <c r="A47" s="72">
        <v>44</v>
      </c>
      <c r="C47" s="69">
        <v>74</v>
      </c>
      <c r="D47" s="69">
        <v>94</v>
      </c>
      <c r="E47" s="69">
        <v>120</v>
      </c>
      <c r="F47" s="73">
        <v>140</v>
      </c>
      <c r="G47" s="69">
        <v>59.768115450000003</v>
      </c>
      <c r="H47" s="69">
        <v>73.841311590000004</v>
      </c>
      <c r="I47" s="69">
        <v>92.445064959999996</v>
      </c>
      <c r="J47" s="69">
        <v>106.5182611</v>
      </c>
      <c r="K47" s="78">
        <v>50.840998689999999</v>
      </c>
      <c r="L47" s="69">
        <v>69.941963259999994</v>
      </c>
      <c r="M47" s="69">
        <v>95.192064959999996</v>
      </c>
      <c r="N47" s="73">
        <v>114.2930295</v>
      </c>
      <c r="O47" s="69">
        <v>61.738912550000002</v>
      </c>
      <c r="P47" s="69">
        <v>75.786815910000001</v>
      </c>
      <c r="Q47" s="69">
        <v>94.357134029999997</v>
      </c>
      <c r="R47" s="69">
        <v>108.4050374</v>
      </c>
      <c r="S47" s="69">
        <v>66.855578629999997</v>
      </c>
      <c r="T47" s="69">
        <v>85.266552610000005</v>
      </c>
      <c r="U47" s="69">
        <v>109.6045364</v>
      </c>
      <c r="V47" s="69">
        <v>128.01551029999999</v>
      </c>
      <c r="W47" s="69">
        <v>67.195521869999993</v>
      </c>
      <c r="X47" s="69">
        <v>81.743253989999999</v>
      </c>
      <c r="Y47" s="69">
        <v>100.9743098</v>
      </c>
      <c r="Z47" s="69">
        <v>115.5220419</v>
      </c>
    </row>
    <row r="48" spans="1:26">
      <c r="A48" s="72">
        <v>45</v>
      </c>
      <c r="C48" s="69">
        <v>73</v>
      </c>
      <c r="D48" s="69">
        <v>93</v>
      </c>
      <c r="E48" s="69">
        <v>119</v>
      </c>
      <c r="F48" s="73">
        <v>139</v>
      </c>
      <c r="G48" s="69">
        <v>58.941984550000001</v>
      </c>
      <c r="H48" s="69">
        <v>72.83600654</v>
      </c>
      <c r="I48" s="69">
        <v>91.20290455</v>
      </c>
      <c r="J48" s="69">
        <v>105.0969265</v>
      </c>
      <c r="K48" s="78">
        <v>50.196177589999998</v>
      </c>
      <c r="L48" s="69">
        <v>68.953073140000001</v>
      </c>
      <c r="M48" s="69">
        <v>93.748340339999999</v>
      </c>
      <c r="N48" s="73">
        <v>112.5052359</v>
      </c>
      <c r="O48" s="69">
        <v>60.993489359999998</v>
      </c>
      <c r="P48" s="69">
        <v>74.909268350000005</v>
      </c>
      <c r="Q48" s="69">
        <v>93.304927559999996</v>
      </c>
      <c r="R48" s="69">
        <v>107.22070650000001</v>
      </c>
      <c r="S48" s="69">
        <v>65.995198119999998</v>
      </c>
      <c r="T48" s="69">
        <v>84.177869990000005</v>
      </c>
      <c r="U48" s="69">
        <v>108.2140548</v>
      </c>
      <c r="V48" s="69">
        <v>126.39672659999999</v>
      </c>
      <c r="W48" s="69">
        <v>66.281793350000001</v>
      </c>
      <c r="X48" s="69">
        <v>80.626553340000001</v>
      </c>
      <c r="Y48" s="69">
        <v>99.589294600000002</v>
      </c>
      <c r="Z48" s="69">
        <v>113.9340546</v>
      </c>
    </row>
    <row r="49" spans="1:26">
      <c r="A49" s="72">
        <v>46</v>
      </c>
      <c r="C49" s="69">
        <v>72</v>
      </c>
      <c r="D49" s="69">
        <v>91</v>
      </c>
      <c r="E49" s="69">
        <v>117</v>
      </c>
      <c r="F49" s="73">
        <v>137</v>
      </c>
      <c r="G49" s="69">
        <v>58.145058259999999</v>
      </c>
      <c r="H49" s="69">
        <v>71.866051010000007</v>
      </c>
      <c r="I49" s="69">
        <v>90.004216830000004</v>
      </c>
      <c r="J49" s="69">
        <v>103.7252096</v>
      </c>
      <c r="K49" s="78">
        <v>49.573440939999998</v>
      </c>
      <c r="L49" s="69">
        <v>67.999825770000001</v>
      </c>
      <c r="M49" s="69">
        <v>92.358181560000006</v>
      </c>
      <c r="N49" s="73">
        <v>110.7845664</v>
      </c>
      <c r="O49" s="69">
        <v>60.273156739999997</v>
      </c>
      <c r="P49" s="69">
        <v>74.060917509999996</v>
      </c>
      <c r="Q49" s="69">
        <v>92.287345830000007</v>
      </c>
      <c r="R49" s="69">
        <v>106.0751066</v>
      </c>
      <c r="S49" s="69">
        <v>65.164439689999995</v>
      </c>
      <c r="T49" s="69">
        <v>83.126566089999997</v>
      </c>
      <c r="U49" s="69">
        <v>106.8712056</v>
      </c>
      <c r="V49" s="69">
        <v>124.833332</v>
      </c>
      <c r="W49" s="69">
        <v>65.400167890000006</v>
      </c>
      <c r="X49" s="69">
        <v>79.549156550000006</v>
      </c>
      <c r="Y49" s="69">
        <v>98.253102179999999</v>
      </c>
      <c r="Z49" s="69">
        <v>112.4020908</v>
      </c>
    </row>
    <row r="50" spans="1:26">
      <c r="A50" s="72">
        <v>47</v>
      </c>
      <c r="C50" s="69">
        <v>71</v>
      </c>
      <c r="D50" s="69">
        <v>90</v>
      </c>
      <c r="E50" s="69">
        <v>116</v>
      </c>
      <c r="F50" s="73">
        <v>135</v>
      </c>
      <c r="G50" s="69">
        <v>57.375702259999997</v>
      </c>
      <c r="H50" s="69">
        <v>70.929473130000005</v>
      </c>
      <c r="I50" s="69">
        <v>88.846583629999998</v>
      </c>
      <c r="J50" s="69">
        <v>102.40035450000001</v>
      </c>
      <c r="K50" s="78">
        <v>48.97157644</v>
      </c>
      <c r="L50" s="69">
        <v>67.080196889999996</v>
      </c>
      <c r="M50" s="69">
        <v>91.018491030000007</v>
      </c>
      <c r="N50" s="73">
        <v>109.1271115</v>
      </c>
      <c r="O50" s="69">
        <v>59.576551700000003</v>
      </c>
      <c r="P50" s="69">
        <v>73.240187590000005</v>
      </c>
      <c r="Q50" s="69">
        <v>91.302531759999994</v>
      </c>
      <c r="R50" s="69">
        <v>104.9661677</v>
      </c>
      <c r="S50" s="69">
        <v>64.361672110000001</v>
      </c>
      <c r="T50" s="69">
        <v>82.110585959999995</v>
      </c>
      <c r="U50" s="69">
        <v>105.5733738</v>
      </c>
      <c r="V50" s="69">
        <v>123.3222877</v>
      </c>
      <c r="W50" s="69">
        <v>64.548855739999993</v>
      </c>
      <c r="X50" s="69">
        <v>78.508870009999995</v>
      </c>
      <c r="Y50" s="69">
        <v>96.963005089999996</v>
      </c>
      <c r="Z50" s="69">
        <v>110.9230194</v>
      </c>
    </row>
    <row r="51" spans="1:26">
      <c r="A51" s="72">
        <v>48</v>
      </c>
      <c r="C51" s="69">
        <v>70</v>
      </c>
      <c r="D51" s="69">
        <v>89</v>
      </c>
      <c r="E51" s="69">
        <v>114</v>
      </c>
      <c r="F51" s="73">
        <v>134</v>
      </c>
      <c r="G51" s="69">
        <v>56.632405990000002</v>
      </c>
      <c r="H51" s="69">
        <v>70.024449930000003</v>
      </c>
      <c r="I51" s="69">
        <v>87.727769069999994</v>
      </c>
      <c r="J51" s="69">
        <v>101.11981299999999</v>
      </c>
      <c r="K51" s="78">
        <v>48.389462330000001</v>
      </c>
      <c r="L51" s="69">
        <v>66.192317349999996</v>
      </c>
      <c r="M51" s="69">
        <v>89.726411580000004</v>
      </c>
      <c r="N51" s="73">
        <v>107.5292666</v>
      </c>
      <c r="O51" s="69">
        <v>58.902412269999999</v>
      </c>
      <c r="P51" s="69">
        <v>72.445619109999996</v>
      </c>
      <c r="Q51" s="69">
        <v>90.348764729999999</v>
      </c>
      <c r="R51" s="69">
        <v>103.89197160000001</v>
      </c>
      <c r="S51" s="69">
        <v>63.585386249999999</v>
      </c>
      <c r="T51" s="69">
        <v>81.128028270000001</v>
      </c>
      <c r="U51" s="69">
        <v>104.31813959999999</v>
      </c>
      <c r="V51" s="69">
        <v>121.8607816</v>
      </c>
      <c r="W51" s="69">
        <v>63.726202270000002</v>
      </c>
      <c r="X51" s="69">
        <v>77.503665889999994</v>
      </c>
      <c r="Y51" s="69">
        <v>95.716482119999995</v>
      </c>
      <c r="Z51" s="69">
        <v>109.4939457</v>
      </c>
    </row>
    <row r="52" spans="1:26">
      <c r="A52" s="72">
        <v>49</v>
      </c>
      <c r="C52" s="69">
        <v>69</v>
      </c>
      <c r="D52" s="69">
        <v>88</v>
      </c>
      <c r="E52" s="69">
        <v>113</v>
      </c>
      <c r="F52" s="73">
        <v>132</v>
      </c>
      <c r="G52" s="69">
        <v>55.913770880000001</v>
      </c>
      <c r="H52" s="69">
        <v>69.149293349999994</v>
      </c>
      <c r="I52" s="69">
        <v>86.645702360000001</v>
      </c>
      <c r="J52" s="69">
        <v>99.881224840000002</v>
      </c>
      <c r="K52" s="78">
        <v>47.826058889999999</v>
      </c>
      <c r="L52" s="69">
        <v>65.334458240000004</v>
      </c>
      <c r="M52" s="69">
        <v>88.479303239999993</v>
      </c>
      <c r="N52" s="73">
        <v>105.98770260000001</v>
      </c>
      <c r="O52" s="69">
        <v>58.249568109999998</v>
      </c>
      <c r="P52" s="69">
        <v>71.675858039999994</v>
      </c>
      <c r="Q52" s="69">
        <v>89.424447920000006</v>
      </c>
      <c r="R52" s="69">
        <v>102.8507379</v>
      </c>
      <c r="S52" s="69">
        <v>62.834183590000002</v>
      </c>
      <c r="T52" s="69">
        <v>80.177130880000007</v>
      </c>
      <c r="U52" s="69">
        <v>103.10326019999999</v>
      </c>
      <c r="V52" s="69">
        <v>120.4462075</v>
      </c>
      <c r="W52" s="69">
        <v>62.930675209999997</v>
      </c>
      <c r="X52" s="69">
        <v>76.531666419999993</v>
      </c>
      <c r="Y52" s="69">
        <v>94.511198809999996</v>
      </c>
      <c r="Z52" s="69">
        <v>108.11219</v>
      </c>
    </row>
    <row r="53" spans="1:26">
      <c r="A53" s="72">
        <v>50</v>
      </c>
      <c r="C53" s="69">
        <v>68</v>
      </c>
      <c r="D53" s="69">
        <v>87</v>
      </c>
      <c r="E53" s="69">
        <v>112</v>
      </c>
      <c r="F53" s="73">
        <v>130</v>
      </c>
      <c r="G53" s="69">
        <v>55.21850001</v>
      </c>
      <c r="H53" s="69">
        <v>68.30243772</v>
      </c>
      <c r="I53" s="69">
        <v>85.598462580000003</v>
      </c>
      <c r="J53" s="69">
        <v>98.682400299999998</v>
      </c>
      <c r="K53" s="78">
        <v>47.280400929999999</v>
      </c>
      <c r="L53" s="69">
        <v>64.505017789999997</v>
      </c>
      <c r="M53" s="69">
        <v>87.274722729999993</v>
      </c>
      <c r="N53" s="73">
        <v>104.4993396</v>
      </c>
      <c r="O53" s="69">
        <v>57.616932130000002</v>
      </c>
      <c r="P53" s="69">
        <v>70.929646289999994</v>
      </c>
      <c r="Q53" s="69">
        <v>88.528097160000002</v>
      </c>
      <c r="R53" s="69">
        <v>101.8408113</v>
      </c>
      <c r="S53" s="69">
        <v>62.106766100000002</v>
      </c>
      <c r="T53" s="69">
        <v>79.256258130000006</v>
      </c>
      <c r="U53" s="69">
        <v>101.9266535</v>
      </c>
      <c r="V53" s="69">
        <v>119.0761455</v>
      </c>
      <c r="W53" s="69">
        <v>62.160853369999998</v>
      </c>
      <c r="X53" s="69">
        <v>75.591130050000004</v>
      </c>
      <c r="Y53" s="69">
        <v>93.344990120000006</v>
      </c>
      <c r="Z53" s="69">
        <v>106.7752668</v>
      </c>
    </row>
    <row r="54" spans="1:26">
      <c r="A54" s="72">
        <v>51</v>
      </c>
      <c r="C54" s="69">
        <v>68</v>
      </c>
      <c r="D54" s="69">
        <v>86</v>
      </c>
      <c r="E54" s="69">
        <v>111</v>
      </c>
      <c r="F54" s="73">
        <v>129</v>
      </c>
      <c r="G54" s="69">
        <v>54.545388840000001</v>
      </c>
      <c r="H54" s="69">
        <v>67.482428659999997</v>
      </c>
      <c r="I54" s="69">
        <v>84.584265049999999</v>
      </c>
      <c r="J54" s="69">
        <v>97.521304869999994</v>
      </c>
      <c r="K54" s="78">
        <v>46.751591079999997</v>
      </c>
      <c r="L54" s="69">
        <v>63.702509659999997</v>
      </c>
      <c r="M54" s="69">
        <v>86.110405170000007</v>
      </c>
      <c r="N54" s="73">
        <v>103.0613238</v>
      </c>
      <c r="O54" s="69">
        <v>57.003493079999998</v>
      </c>
      <c r="P54" s="69">
        <v>70.2058131</v>
      </c>
      <c r="Q54" s="69">
        <v>87.658330840000005</v>
      </c>
      <c r="R54" s="69">
        <v>100.8606509</v>
      </c>
      <c r="S54" s="69">
        <v>61.401927139999998</v>
      </c>
      <c r="T54" s="69">
        <v>78.363889369999995</v>
      </c>
      <c r="U54" s="69">
        <v>100.7863838</v>
      </c>
      <c r="V54" s="69">
        <v>117.748346</v>
      </c>
      <c r="W54" s="69">
        <v>61.41541651</v>
      </c>
      <c r="X54" s="69">
        <v>74.680439059999998</v>
      </c>
      <c r="Y54" s="69">
        <v>92.215845040000005</v>
      </c>
      <c r="Z54" s="69">
        <v>105.4808676</v>
      </c>
    </row>
    <row r="55" spans="1:26">
      <c r="A55" s="72">
        <v>52</v>
      </c>
      <c r="C55" s="69">
        <v>67</v>
      </c>
      <c r="D55" s="69">
        <v>85</v>
      </c>
      <c r="E55" s="69">
        <v>109</v>
      </c>
      <c r="F55" s="73">
        <v>128</v>
      </c>
      <c r="G55" s="69">
        <v>53.893317000000003</v>
      </c>
      <c r="H55" s="69">
        <v>66.687913140000006</v>
      </c>
      <c r="I55" s="69">
        <v>83.601449239999994</v>
      </c>
      <c r="J55" s="69">
        <v>96.396045380000004</v>
      </c>
      <c r="K55" s="78">
        <v>46.238793780000002</v>
      </c>
      <c r="L55" s="69">
        <v>62.925552580000002</v>
      </c>
      <c r="M55" s="69">
        <v>84.984247859999996</v>
      </c>
      <c r="N55" s="73">
        <v>101.67100670000001</v>
      </c>
      <c r="O55" s="69">
        <v>56.408308849999997</v>
      </c>
      <c r="P55" s="69">
        <v>69.50326742</v>
      </c>
      <c r="Q55" s="69">
        <v>86.813861059999994</v>
      </c>
      <c r="R55" s="69">
        <v>99.908819629999996</v>
      </c>
      <c r="S55" s="69">
        <v>60.718543429999997</v>
      </c>
      <c r="T55" s="69">
        <v>77.498608880000006</v>
      </c>
      <c r="U55" s="69">
        <v>99.680648820000002</v>
      </c>
      <c r="V55" s="69">
        <v>116.46071430000001</v>
      </c>
      <c r="W55" s="69">
        <v>60.693136359999997</v>
      </c>
      <c r="X55" s="69">
        <v>73.798088500000006</v>
      </c>
      <c r="Y55" s="69">
        <v>91.121892919999993</v>
      </c>
      <c r="Z55" s="69">
        <v>104.22684510000001</v>
      </c>
    </row>
    <row r="56" spans="1:26">
      <c r="A56" s="72">
        <v>53</v>
      </c>
      <c r="C56" s="69">
        <v>66</v>
      </c>
      <c r="D56" s="69">
        <v>84</v>
      </c>
      <c r="E56" s="69">
        <v>108</v>
      </c>
      <c r="F56" s="73">
        <v>126</v>
      </c>
      <c r="G56" s="69">
        <v>53.261240880000003</v>
      </c>
      <c r="H56" s="69">
        <v>65.917630689999996</v>
      </c>
      <c r="I56" s="69">
        <v>82.648467949999997</v>
      </c>
      <c r="J56" s="69">
        <v>95.304857749999996</v>
      </c>
      <c r="K56" s="78">
        <v>45.741229969999999</v>
      </c>
      <c r="L56" s="69">
        <v>62.172861060000002</v>
      </c>
      <c r="M56" s="69">
        <v>83.894295839999998</v>
      </c>
      <c r="N56" s="73">
        <v>100.3259269</v>
      </c>
      <c r="O56" s="69">
        <v>55.830500540000003</v>
      </c>
      <c r="P56" s="69">
        <v>68.820991100000001</v>
      </c>
      <c r="Q56" s="69">
        <v>85.993485519999993</v>
      </c>
      <c r="R56" s="69">
        <v>98.983976069999997</v>
      </c>
      <c r="S56" s="69">
        <v>60.055567770000003</v>
      </c>
      <c r="T56" s="69">
        <v>76.659096719999994</v>
      </c>
      <c r="U56" s="69">
        <v>98.607768109999995</v>
      </c>
      <c r="V56" s="69">
        <v>115.2112971</v>
      </c>
      <c r="W56" s="69">
        <v>59.992868649999998</v>
      </c>
      <c r="X56" s="69">
        <v>72.942676410000004</v>
      </c>
      <c r="Y56" s="69">
        <v>90.061391119999996</v>
      </c>
      <c r="Z56" s="69">
        <v>103.0111989</v>
      </c>
    </row>
    <row r="57" spans="1:26">
      <c r="A57" s="72">
        <v>54</v>
      </c>
      <c r="C57" s="69">
        <v>65</v>
      </c>
      <c r="D57" s="69">
        <v>83</v>
      </c>
      <c r="E57" s="69">
        <v>107</v>
      </c>
      <c r="F57" s="73">
        <v>125</v>
      </c>
      <c r="G57" s="69">
        <v>52.648187100000001</v>
      </c>
      <c r="H57" s="69">
        <v>65.170405410000001</v>
      </c>
      <c r="I57" s="69">
        <v>81.723877610000002</v>
      </c>
      <c r="J57" s="69">
        <v>94.246095920000002</v>
      </c>
      <c r="K57" s="78">
        <v>45.258172289999997</v>
      </c>
      <c r="L57" s="69">
        <v>61.443237060000001</v>
      </c>
      <c r="M57" s="69">
        <v>82.838728889999999</v>
      </c>
      <c r="N57" s="73">
        <v>99.023793659999995</v>
      </c>
      <c r="O57" s="69">
        <v>55.269247149999998</v>
      </c>
      <c r="P57" s="69">
        <v>68.158032710000001</v>
      </c>
      <c r="Q57" s="69">
        <v>85.196080440000003</v>
      </c>
      <c r="R57" s="69">
        <v>98.084866000000005</v>
      </c>
      <c r="S57" s="69">
        <v>59.412022589999999</v>
      </c>
      <c r="T57" s="69">
        <v>75.844120630000006</v>
      </c>
      <c r="U57" s="69">
        <v>97.56617267</v>
      </c>
      <c r="V57" s="69">
        <v>113.99827070000001</v>
      </c>
      <c r="W57" s="69">
        <v>59.313545830000002</v>
      </c>
      <c r="X57" s="69">
        <v>72.112894940000004</v>
      </c>
      <c r="Y57" s="69">
        <v>89.032714110000001</v>
      </c>
      <c r="Z57" s="69">
        <v>101.83206319999999</v>
      </c>
    </row>
    <row r="58" spans="1:26">
      <c r="A58" s="72">
        <v>55</v>
      </c>
      <c r="C58" s="69">
        <v>65</v>
      </c>
      <c r="D58" s="69">
        <v>82</v>
      </c>
      <c r="E58" s="69">
        <v>106</v>
      </c>
      <c r="F58" s="73">
        <v>124</v>
      </c>
      <c r="G58" s="69">
        <v>52.053246549999997</v>
      </c>
      <c r="H58" s="69">
        <v>64.445138909999997</v>
      </c>
      <c r="I58" s="69">
        <v>80.826329569999999</v>
      </c>
      <c r="J58" s="69">
        <v>93.218221929999999</v>
      </c>
      <c r="K58" s="78">
        <v>44.78894073</v>
      </c>
      <c r="L58" s="69">
        <v>60.735562569999999</v>
      </c>
      <c r="M58" s="69">
        <v>81.815850010000005</v>
      </c>
      <c r="N58" s="73">
        <v>97.762471860000005</v>
      </c>
      <c r="O58" s="69">
        <v>54.723780740000002</v>
      </c>
      <c r="P58" s="69">
        <v>67.513502070000001</v>
      </c>
      <c r="Q58" s="69">
        <v>84.420594030000004</v>
      </c>
      <c r="R58" s="69">
        <v>97.210315359999996</v>
      </c>
      <c r="S58" s="69">
        <v>58.78699417</v>
      </c>
      <c r="T58" s="69">
        <v>75.052528690000003</v>
      </c>
      <c r="U58" s="69">
        <v>96.554395749999998</v>
      </c>
      <c r="V58" s="69">
        <v>112.8199303</v>
      </c>
      <c r="W58" s="69">
        <v>58.654170690000001</v>
      </c>
      <c r="X58" s="69">
        <v>71.307522410000004</v>
      </c>
      <c r="Y58" s="69">
        <v>88.034343550000003</v>
      </c>
      <c r="Z58" s="69">
        <v>100.6876953</v>
      </c>
    </row>
    <row r="59" spans="1:26">
      <c r="A59" s="72">
        <v>56</v>
      </c>
      <c r="C59" s="69">
        <v>64</v>
      </c>
      <c r="D59" s="69">
        <v>82</v>
      </c>
      <c r="E59" s="69">
        <v>105</v>
      </c>
      <c r="F59" s="73">
        <v>122</v>
      </c>
      <c r="G59" s="69">
        <v>51.475569059999998</v>
      </c>
      <c r="H59" s="69">
        <v>63.740803829999997</v>
      </c>
      <c r="I59" s="69">
        <v>79.954562269999997</v>
      </c>
      <c r="J59" s="69">
        <v>92.219797040000003</v>
      </c>
      <c r="K59" s="78">
        <v>44.332898780000001</v>
      </c>
      <c r="L59" s="69">
        <v>60.048792949999999</v>
      </c>
      <c r="M59" s="69">
        <v>80.82407499</v>
      </c>
      <c r="N59" s="73">
        <v>96.539969150000005</v>
      </c>
      <c r="O59" s="69">
        <v>54.193382110000002</v>
      </c>
      <c r="P59" s="69">
        <v>66.886565250000004</v>
      </c>
      <c r="Q59" s="69">
        <v>83.666040659999993</v>
      </c>
      <c r="R59" s="69">
        <v>96.359223810000003</v>
      </c>
      <c r="S59" s="69">
        <v>58.179627320000002</v>
      </c>
      <c r="T59" s="69">
        <v>74.283242749999999</v>
      </c>
      <c r="U59" s="69">
        <v>95.571064410000005</v>
      </c>
      <c r="V59" s="69">
        <v>111.67467980000001</v>
      </c>
      <c r="W59" s="69">
        <v>58.013810489999997</v>
      </c>
      <c r="X59" s="69">
        <v>70.525416280000002</v>
      </c>
      <c r="Y59" s="69">
        <v>87.064859470000002</v>
      </c>
      <c r="Z59" s="69">
        <v>99.576465260000006</v>
      </c>
    </row>
    <row r="60" spans="1:26">
      <c r="A60" s="72">
        <v>57</v>
      </c>
      <c r="C60" s="69">
        <v>63</v>
      </c>
      <c r="D60" s="69">
        <v>81</v>
      </c>
      <c r="E60" s="69">
        <v>104</v>
      </c>
      <c r="F60" s="73">
        <v>121</v>
      </c>
      <c r="G60" s="69">
        <v>50.914358649999997</v>
      </c>
      <c r="H60" s="69">
        <v>63.056438159999999</v>
      </c>
      <c r="I60" s="69">
        <v>79.107394189999994</v>
      </c>
      <c r="J60" s="69">
        <v>91.249473699999996</v>
      </c>
      <c r="K60" s="78">
        <v>43.889449949999999</v>
      </c>
      <c r="L60" s="69">
        <v>59.381950830000001</v>
      </c>
      <c r="M60" s="69">
        <v>79.861923020000006</v>
      </c>
      <c r="N60" s="73">
        <v>95.3544239</v>
      </c>
      <c r="O60" s="69">
        <v>53.677376940000002</v>
      </c>
      <c r="P60" s="69">
        <v>66.276440109999996</v>
      </c>
      <c r="Q60" s="69">
        <v>82.931495670000004</v>
      </c>
      <c r="R60" s="69">
        <v>95.530558839999998</v>
      </c>
      <c r="S60" s="69">
        <v>57.58912076</v>
      </c>
      <c r="T60" s="69">
        <v>73.535252479999997</v>
      </c>
      <c r="U60" s="69">
        <v>94.614891999999998</v>
      </c>
      <c r="V60" s="69">
        <v>110.56102370000001</v>
      </c>
      <c r="W60" s="69">
        <v>57.39159179</v>
      </c>
      <c r="X60" s="69">
        <v>69.765506610000003</v>
      </c>
      <c r="Y60" s="69">
        <v>86.122932250000005</v>
      </c>
      <c r="Z60" s="69">
        <v>98.496847059999993</v>
      </c>
    </row>
    <row r="61" spans="1:26">
      <c r="A61" s="72">
        <v>58</v>
      </c>
      <c r="C61" s="69">
        <v>63</v>
      </c>
      <c r="D61" s="69">
        <v>80</v>
      </c>
      <c r="E61" s="69">
        <v>103</v>
      </c>
      <c r="F61" s="73">
        <v>120</v>
      </c>
      <c r="G61" s="69">
        <v>50.368869179999997</v>
      </c>
      <c r="H61" s="69">
        <v>62.391139959999997</v>
      </c>
      <c r="I61" s="69">
        <v>78.283717460000005</v>
      </c>
      <c r="J61" s="69">
        <v>90.305988249999999</v>
      </c>
      <c r="K61" s="78">
        <v>43.458034550000001</v>
      </c>
      <c r="L61" s="69">
        <v>58.734120769999997</v>
      </c>
      <c r="M61" s="69">
        <v>78.928008320000004</v>
      </c>
      <c r="N61" s="73">
        <v>94.20409454</v>
      </c>
      <c r="O61" s="69">
        <v>53.175132240000003</v>
      </c>
      <c r="P61" s="69">
        <v>65.682392199999995</v>
      </c>
      <c r="Q61" s="69">
        <v>82.216090539999996</v>
      </c>
      <c r="R61" s="69">
        <v>94.723350510000003</v>
      </c>
      <c r="S61" s="69">
        <v>57.014722749999997</v>
      </c>
      <c r="T61" s="69">
        <v>72.807609990000003</v>
      </c>
      <c r="U61" s="69">
        <v>93.68467133</v>
      </c>
      <c r="V61" s="69">
        <v>109.47755859999999</v>
      </c>
      <c r="W61" s="69">
        <v>56.78669567</v>
      </c>
      <c r="X61" s="69">
        <v>69.026790349999999</v>
      </c>
      <c r="Y61" s="69">
        <v>85.207315399999999</v>
      </c>
      <c r="Z61" s="69">
        <v>97.447410090000005</v>
      </c>
    </row>
    <row r="62" spans="1:26">
      <c r="A62" s="72">
        <v>59</v>
      </c>
      <c r="C62" s="69">
        <v>62</v>
      </c>
      <c r="D62" s="69">
        <v>79</v>
      </c>
      <c r="E62" s="69">
        <v>102</v>
      </c>
      <c r="F62" s="73">
        <v>119</v>
      </c>
      <c r="G62" s="69">
        <v>49.838400409999998</v>
      </c>
      <c r="H62" s="69">
        <v>61.744062679999999</v>
      </c>
      <c r="I62" s="69">
        <v>77.482492120000003</v>
      </c>
      <c r="J62" s="69">
        <v>89.388154389999997</v>
      </c>
      <c r="K62" s="78">
        <v>43.03812688</v>
      </c>
      <c r="L62" s="69">
        <v>58.104444260000001</v>
      </c>
      <c r="M62" s="69">
        <v>78.021032500000004</v>
      </c>
      <c r="N62" s="73">
        <v>93.087349880000005</v>
      </c>
      <c r="O62" s="69">
        <v>52.686053129999998</v>
      </c>
      <c r="P62" s="69">
        <v>65.103731159999995</v>
      </c>
      <c r="Q62" s="69">
        <v>81.51900861</v>
      </c>
      <c r="R62" s="69">
        <v>93.936686640000005</v>
      </c>
      <c r="S62" s="69">
        <v>56.455727340000003</v>
      </c>
      <c r="T62" s="69">
        <v>72.099425010000004</v>
      </c>
      <c r="U62" s="69">
        <v>92.779268479999999</v>
      </c>
      <c r="V62" s="69">
        <v>108.4229662</v>
      </c>
      <c r="W62" s="69">
        <v>56.198353470000001</v>
      </c>
      <c r="X62" s="69">
        <v>68.308326070000007</v>
      </c>
      <c r="Y62" s="69">
        <v>84.316839079999994</v>
      </c>
      <c r="Z62" s="69">
        <v>96.42681168</v>
      </c>
    </row>
    <row r="63" spans="1:26">
      <c r="A63" s="72">
        <v>60</v>
      </c>
      <c r="C63" s="69">
        <v>62</v>
      </c>
      <c r="D63" s="69">
        <v>78</v>
      </c>
      <c r="E63" s="69">
        <v>101</v>
      </c>
      <c r="F63" s="73">
        <v>118</v>
      </c>
      <c r="G63" s="69">
        <v>49.322294489999997</v>
      </c>
      <c r="H63" s="69">
        <v>61.114410890000002</v>
      </c>
      <c r="I63" s="69">
        <v>76.702740849999998</v>
      </c>
      <c r="J63" s="69">
        <v>88.494857249999995</v>
      </c>
      <c r="K63" s="78">
        <v>42.629232620000003</v>
      </c>
      <c r="L63" s="69">
        <v>57.492115380000001</v>
      </c>
      <c r="M63" s="69">
        <v>77.139777670000001</v>
      </c>
      <c r="N63" s="73">
        <v>92.002660419999998</v>
      </c>
      <c r="O63" s="69">
        <v>52.209580000000003</v>
      </c>
      <c r="P63" s="69">
        <v>64.539807300000007</v>
      </c>
      <c r="Q63" s="69">
        <v>80.839481180000007</v>
      </c>
      <c r="R63" s="69">
        <v>93.169708470000003</v>
      </c>
      <c r="S63" s="69">
        <v>55.911470770000001</v>
      </c>
      <c r="T63" s="69">
        <v>71.409860460000004</v>
      </c>
      <c r="U63" s="69">
        <v>91.897617229999994</v>
      </c>
      <c r="V63" s="69">
        <v>107.3960069</v>
      </c>
      <c r="W63" s="69">
        <v>55.625842919999997</v>
      </c>
      <c r="X63" s="69">
        <v>67.60922918</v>
      </c>
      <c r="Y63" s="69">
        <v>83.450404140000003</v>
      </c>
      <c r="Z63" s="69">
        <v>95.433790389999999</v>
      </c>
    </row>
    <row r="64" spans="1:26">
      <c r="A64" s="72">
        <v>61</v>
      </c>
      <c r="C64" s="69">
        <v>61</v>
      </c>
      <c r="D64" s="69">
        <v>77</v>
      </c>
      <c r="E64" s="69">
        <v>99</v>
      </c>
      <c r="F64" s="73">
        <v>116</v>
      </c>
      <c r="G64" s="69">
        <v>48.797879799999997</v>
      </c>
      <c r="H64" s="69">
        <v>60.396319030000001</v>
      </c>
      <c r="I64" s="69">
        <v>75.728621700000005</v>
      </c>
      <c r="J64" s="69">
        <v>87.327060939999996</v>
      </c>
      <c r="K64" s="78">
        <v>42.229957980000002</v>
      </c>
      <c r="L64" s="69">
        <v>56.846588779999998</v>
      </c>
      <c r="M64" s="69">
        <v>76.168723700000001</v>
      </c>
      <c r="N64" s="73">
        <v>90.785354499999997</v>
      </c>
      <c r="O64" s="69">
        <v>51.61656756</v>
      </c>
      <c r="P64" s="69">
        <v>63.783999729999998</v>
      </c>
      <c r="Q64" s="69">
        <v>79.868470139999999</v>
      </c>
      <c r="R64" s="69">
        <v>92.035902309999997</v>
      </c>
      <c r="S64" s="69">
        <v>55.24993104</v>
      </c>
      <c r="T64" s="69">
        <v>70.546769839999996</v>
      </c>
      <c r="U64" s="69">
        <v>90.768090810000004</v>
      </c>
      <c r="V64" s="69">
        <v>106.0649296</v>
      </c>
      <c r="W64" s="69">
        <v>54.953521369999997</v>
      </c>
      <c r="X64" s="69">
        <v>66.784231899999995</v>
      </c>
      <c r="Y64" s="69">
        <v>82.423580520000002</v>
      </c>
      <c r="Z64" s="69">
        <v>94.254291039999998</v>
      </c>
    </row>
    <row r="65" spans="1:26">
      <c r="A65" s="72">
        <v>62</v>
      </c>
      <c r="C65" s="69">
        <v>60</v>
      </c>
      <c r="D65" s="69">
        <v>76</v>
      </c>
      <c r="E65" s="69">
        <v>98</v>
      </c>
      <c r="F65" s="73">
        <v>115</v>
      </c>
      <c r="G65" s="69">
        <v>48.287433389999997</v>
      </c>
      <c r="H65" s="69">
        <v>59.698448939999999</v>
      </c>
      <c r="I65" s="69">
        <v>74.782990979999994</v>
      </c>
      <c r="J65" s="69">
        <v>86.194006529999996</v>
      </c>
      <c r="K65" s="78">
        <v>41.840825049999999</v>
      </c>
      <c r="L65" s="69">
        <v>56.21918952</v>
      </c>
      <c r="M65" s="69">
        <v>75.22635348</v>
      </c>
      <c r="N65" s="73">
        <v>89.604717960000002</v>
      </c>
      <c r="O65" s="69">
        <v>51.039770660000002</v>
      </c>
      <c r="P65" s="69">
        <v>63.04915226</v>
      </c>
      <c r="Q65" s="69">
        <v>78.924691199999998</v>
      </c>
      <c r="R65" s="69">
        <v>90.934072810000004</v>
      </c>
      <c r="S65" s="69">
        <v>54.606786419999999</v>
      </c>
      <c r="T65" s="69">
        <v>69.707909409999999</v>
      </c>
      <c r="U65" s="69">
        <v>89.670508150000003</v>
      </c>
      <c r="V65" s="69">
        <v>104.77163109999999</v>
      </c>
      <c r="W65" s="69">
        <v>54.300061769999999</v>
      </c>
      <c r="X65" s="69">
        <v>65.982477329999995</v>
      </c>
      <c r="Y65" s="69">
        <v>81.425790669999998</v>
      </c>
      <c r="Z65" s="69">
        <v>93.108206229999993</v>
      </c>
    </row>
    <row r="66" spans="1:26">
      <c r="A66" s="72">
        <v>63</v>
      </c>
      <c r="C66" s="69">
        <v>59</v>
      </c>
      <c r="D66" s="69">
        <v>76</v>
      </c>
      <c r="E66" s="69">
        <v>97</v>
      </c>
      <c r="F66" s="73">
        <v>113</v>
      </c>
      <c r="G66" s="69">
        <v>47.790366779999999</v>
      </c>
      <c r="H66" s="69">
        <v>59.019914159999999</v>
      </c>
      <c r="I66" s="69">
        <v>73.864568329999997</v>
      </c>
      <c r="J66" s="69">
        <v>85.094115709999997</v>
      </c>
      <c r="K66" s="78">
        <v>41.461418790000003</v>
      </c>
      <c r="L66" s="69">
        <v>55.609120959999998</v>
      </c>
      <c r="M66" s="69">
        <v>74.311365940000002</v>
      </c>
      <c r="N66" s="73">
        <v>88.459068110000004</v>
      </c>
      <c r="O66" s="69">
        <v>50.478494900000001</v>
      </c>
      <c r="P66" s="69">
        <v>62.33435901</v>
      </c>
      <c r="Q66" s="69">
        <v>78.006958870000005</v>
      </c>
      <c r="R66" s="69">
        <v>89.862822980000004</v>
      </c>
      <c r="S66" s="69">
        <v>53.981240909999997</v>
      </c>
      <c r="T66" s="69">
        <v>68.892224150000004</v>
      </c>
      <c r="U66" s="69">
        <v>88.603471819999996</v>
      </c>
      <c r="V66" s="69">
        <v>103.51445510000001</v>
      </c>
      <c r="W66" s="69">
        <v>53.664643320000003</v>
      </c>
      <c r="X66" s="69">
        <v>65.202951330000005</v>
      </c>
      <c r="Y66" s="69">
        <v>80.455764840000001</v>
      </c>
      <c r="Z66" s="69">
        <v>91.994072849999995</v>
      </c>
    </row>
    <row r="67" spans="1:26">
      <c r="A67" s="72">
        <v>64</v>
      </c>
      <c r="C67" s="69">
        <v>59</v>
      </c>
      <c r="D67" s="69">
        <v>75</v>
      </c>
      <c r="E67" s="69">
        <v>96</v>
      </c>
      <c r="F67" s="73">
        <v>112</v>
      </c>
      <c r="G67" s="69">
        <v>47.306125110000004</v>
      </c>
      <c r="H67" s="69">
        <v>58.359880500000003</v>
      </c>
      <c r="I67" s="69">
        <v>72.972150290000002</v>
      </c>
      <c r="J67" s="69">
        <v>84.02590567</v>
      </c>
      <c r="K67" s="78">
        <v>41.091347399999997</v>
      </c>
      <c r="L67" s="69">
        <v>55.015633600000001</v>
      </c>
      <c r="M67" s="69">
        <v>73.422538729999999</v>
      </c>
      <c r="N67" s="73">
        <v>87.346824929999997</v>
      </c>
      <c r="O67" s="69">
        <v>49.932086069999997</v>
      </c>
      <c r="P67" s="69">
        <v>61.638766830000002</v>
      </c>
      <c r="Q67" s="69">
        <v>77.114157019999993</v>
      </c>
      <c r="R67" s="69">
        <v>88.820837789999999</v>
      </c>
      <c r="S67" s="69">
        <v>53.372544849999997</v>
      </c>
      <c r="T67" s="69">
        <v>68.098720760000006</v>
      </c>
      <c r="U67" s="69">
        <v>87.565666429999993</v>
      </c>
      <c r="V67" s="69">
        <v>102.2918423</v>
      </c>
      <c r="W67" s="69">
        <v>53.046493259999998</v>
      </c>
      <c r="X67" s="69">
        <v>64.444699180000001</v>
      </c>
      <c r="Y67" s="69">
        <v>79.512307809999996</v>
      </c>
      <c r="Z67" s="69">
        <v>90.910513730000005</v>
      </c>
    </row>
    <row r="68" spans="1:26">
      <c r="A68" s="72">
        <v>65</v>
      </c>
      <c r="C68" s="69">
        <v>58</v>
      </c>
      <c r="D68" s="69">
        <v>74</v>
      </c>
      <c r="E68" s="69">
        <v>95</v>
      </c>
      <c r="F68" s="73">
        <v>110</v>
      </c>
      <c r="G68" s="69">
        <v>46.834184739999998</v>
      </c>
      <c r="H68" s="69">
        <v>57.71756216</v>
      </c>
      <c r="I68" s="69">
        <v>72.104604550000005</v>
      </c>
      <c r="J68" s="69">
        <v>82.987981970000007</v>
      </c>
      <c r="K68" s="78">
        <v>40.730240639999998</v>
      </c>
      <c r="L68" s="69">
        <v>54.438021599999999</v>
      </c>
      <c r="M68" s="69">
        <v>72.558722360000004</v>
      </c>
      <c r="N68" s="73">
        <v>86.266503310000004</v>
      </c>
      <c r="O68" s="69">
        <v>49.399927159999997</v>
      </c>
      <c r="P68" s="69">
        <v>60.961571460000002</v>
      </c>
      <c r="Q68" s="69">
        <v>76.245233889999994</v>
      </c>
      <c r="R68" s="69">
        <v>87.806878190000006</v>
      </c>
      <c r="S68" s="69">
        <v>52.779991610000003</v>
      </c>
      <c r="T68" s="69">
        <v>67.326463200000006</v>
      </c>
      <c r="U68" s="69">
        <v>86.555852669999993</v>
      </c>
      <c r="V68" s="69">
        <v>101.10232430000001</v>
      </c>
      <c r="W68" s="69">
        <v>52.444883300000001</v>
      </c>
      <c r="X68" s="69">
        <v>63.706821259999998</v>
      </c>
      <c r="Y68" s="69">
        <v>78.594293449999995</v>
      </c>
      <c r="Z68" s="69">
        <v>89.85623142</v>
      </c>
    </row>
    <row r="69" spans="1:26">
      <c r="A69" s="72">
        <v>66</v>
      </c>
      <c r="C69" s="69">
        <v>57</v>
      </c>
      <c r="D69" s="69">
        <v>73</v>
      </c>
      <c r="E69" s="69">
        <v>94</v>
      </c>
      <c r="F69" s="73">
        <v>109</v>
      </c>
      <c r="G69" s="69">
        <v>46.374051020000003</v>
      </c>
      <c r="H69" s="69">
        <v>57.092218279999997</v>
      </c>
      <c r="I69" s="69">
        <v>71.260864699999999</v>
      </c>
      <c r="J69" s="69">
        <v>81.97903196</v>
      </c>
      <c r="K69" s="78">
        <v>40.377748390000001</v>
      </c>
      <c r="L69" s="69">
        <v>53.875619589999999</v>
      </c>
      <c r="M69" s="69">
        <v>71.718834759999993</v>
      </c>
      <c r="N69" s="73">
        <v>85.216705959999999</v>
      </c>
      <c r="O69" s="69">
        <v>48.881435770000003</v>
      </c>
      <c r="P69" s="69">
        <v>60.302014049999997</v>
      </c>
      <c r="Q69" s="69">
        <v>75.399197340000001</v>
      </c>
      <c r="R69" s="69">
        <v>86.819775620000001</v>
      </c>
      <c r="S69" s="69">
        <v>52.202914450000002</v>
      </c>
      <c r="T69" s="69">
        <v>66.574568510000006</v>
      </c>
      <c r="U69" s="69">
        <v>85.572861779999997</v>
      </c>
      <c r="V69" s="69">
        <v>99.944515839999994</v>
      </c>
      <c r="W69" s="69">
        <v>51.85912647</v>
      </c>
      <c r="X69" s="69">
        <v>62.988469070000001</v>
      </c>
      <c r="Y69" s="69">
        <v>77.700659740000006</v>
      </c>
      <c r="Z69" s="69">
        <v>88.830002339999993</v>
      </c>
    </row>
    <row r="70" spans="1:26">
      <c r="A70" s="72">
        <v>67</v>
      </c>
      <c r="C70" s="69">
        <v>57</v>
      </c>
      <c r="D70" s="69">
        <v>72</v>
      </c>
      <c r="E70" s="69">
        <v>92</v>
      </c>
      <c r="F70" s="73">
        <v>108</v>
      </c>
      <c r="G70" s="69">
        <v>45.925256320000003</v>
      </c>
      <c r="H70" s="69">
        <v>56.483149660000002</v>
      </c>
      <c r="I70" s="69">
        <v>70.439925500000001</v>
      </c>
      <c r="J70" s="69">
        <v>80.997818850000002</v>
      </c>
      <c r="K70" s="78">
        <v>40.033539210000001</v>
      </c>
      <c r="L70" s="69">
        <v>53.327799810000002</v>
      </c>
      <c r="M70" s="69">
        <v>70.901856390000006</v>
      </c>
      <c r="N70" s="73">
        <v>84.196116979999999</v>
      </c>
      <c r="O70" s="69">
        <v>48.376061659999998</v>
      </c>
      <c r="P70" s="69">
        <v>59.659377939999999</v>
      </c>
      <c r="Q70" s="69">
        <v>74.57511074</v>
      </c>
      <c r="R70" s="69">
        <v>85.858427030000001</v>
      </c>
      <c r="S70" s="69">
        <v>51.640683760000002</v>
      </c>
      <c r="T70" s="69">
        <v>65.842203119999994</v>
      </c>
      <c r="U70" s="69">
        <v>84.615590560000001</v>
      </c>
      <c r="V70" s="69">
        <v>98.817109930000001</v>
      </c>
      <c r="W70" s="69">
        <v>51.288574189999999</v>
      </c>
      <c r="X70" s="69">
        <v>62.28884163</v>
      </c>
      <c r="Y70" s="69">
        <v>76.830404200000004</v>
      </c>
      <c r="Z70" s="69">
        <v>87.830671629999998</v>
      </c>
    </row>
    <row r="71" spans="1:26">
      <c r="A71" s="72">
        <v>68</v>
      </c>
      <c r="C71" s="69">
        <v>56</v>
      </c>
      <c r="D71" s="69">
        <v>71</v>
      </c>
      <c r="E71" s="69">
        <v>91</v>
      </c>
      <c r="F71" s="73">
        <v>107</v>
      </c>
      <c r="G71" s="69">
        <v>45.487358129999997</v>
      </c>
      <c r="H71" s="69">
        <v>55.88969591</v>
      </c>
      <c r="I71" s="69">
        <v>69.640838479999999</v>
      </c>
      <c r="J71" s="69">
        <v>80.043176259999996</v>
      </c>
      <c r="K71" s="78">
        <v>39.697299139999998</v>
      </c>
      <c r="L71" s="69">
        <v>52.793969390000001</v>
      </c>
      <c r="M71" s="69">
        <v>70.106825749999999</v>
      </c>
      <c r="N71" s="73">
        <v>83.203496000000001</v>
      </c>
      <c r="O71" s="69">
        <v>47.883284510000003</v>
      </c>
      <c r="P71" s="69">
        <v>59.03298573</v>
      </c>
      <c r="Q71" s="69">
        <v>73.772089019999996</v>
      </c>
      <c r="R71" s="69">
        <v>84.921790240000007</v>
      </c>
      <c r="S71" s="69">
        <v>51.092704410000003</v>
      </c>
      <c r="T71" s="69">
        <v>65.128579360000003</v>
      </c>
      <c r="U71" s="69">
        <v>83.682996790000004</v>
      </c>
      <c r="V71" s="69">
        <v>97.718871739999997</v>
      </c>
      <c r="W71" s="69">
        <v>50.732613579999999</v>
      </c>
      <c r="X71" s="69">
        <v>61.607182090000002</v>
      </c>
      <c r="Y71" s="69">
        <v>75.982579740000006</v>
      </c>
      <c r="Z71" s="69">
        <v>86.857148260000002</v>
      </c>
    </row>
    <row r="72" spans="1:26">
      <c r="A72" s="72">
        <v>69</v>
      </c>
      <c r="C72" s="69">
        <v>56</v>
      </c>
      <c r="D72" s="69">
        <v>71</v>
      </c>
      <c r="E72" s="69">
        <v>90</v>
      </c>
      <c r="F72" s="73">
        <v>105</v>
      </c>
      <c r="G72" s="69">
        <v>45.059937419999997</v>
      </c>
      <c r="H72" s="69">
        <v>55.311232709999999</v>
      </c>
      <c r="I72" s="69">
        <v>68.862707959999995</v>
      </c>
      <c r="J72" s="69">
        <v>79.114003240000002</v>
      </c>
      <c r="K72" s="78">
        <v>39.368730499999998</v>
      </c>
      <c r="L72" s="69">
        <v>52.273567999999997</v>
      </c>
      <c r="M72" s="69">
        <v>69.332835259999996</v>
      </c>
      <c r="N72" s="73">
        <v>82.237672759999995</v>
      </c>
      <c r="O72" s="69">
        <v>47.402611929999999</v>
      </c>
      <c r="P72" s="69">
        <v>58.422196589999999</v>
      </c>
      <c r="Q72" s="69">
        <v>72.989295150000004</v>
      </c>
      <c r="R72" s="69">
        <v>84.008879800000003</v>
      </c>
      <c r="S72" s="69">
        <v>50.558413450000003</v>
      </c>
      <c r="T72" s="69">
        <v>64.432952290000003</v>
      </c>
      <c r="U72" s="69">
        <v>82.774094980000001</v>
      </c>
      <c r="V72" s="69">
        <v>96.648633820000001</v>
      </c>
      <c r="W72" s="69">
        <v>50.190664980000001</v>
      </c>
      <c r="X72" s="69">
        <v>60.942774790000001</v>
      </c>
      <c r="Y72" s="69">
        <v>75.156290839999997</v>
      </c>
      <c r="Z72" s="69">
        <v>85.908400650000004</v>
      </c>
    </row>
    <row r="73" spans="1:26">
      <c r="A73" s="72">
        <v>70</v>
      </c>
      <c r="C73" s="69">
        <v>55</v>
      </c>
      <c r="D73" s="69">
        <v>70</v>
      </c>
      <c r="E73" s="69">
        <v>89</v>
      </c>
      <c r="F73" s="73">
        <v>104</v>
      </c>
      <c r="G73" s="69">
        <v>44.642597019999997</v>
      </c>
      <c r="H73" s="69">
        <v>54.747169339999999</v>
      </c>
      <c r="I73" s="69">
        <v>68.104687389999995</v>
      </c>
      <c r="J73" s="69">
        <v>78.209259720000006</v>
      </c>
      <c r="K73" s="78">
        <v>39.047550829999999</v>
      </c>
      <c r="L73" s="69">
        <v>51.766065560000001</v>
      </c>
      <c r="M73" s="69">
        <v>68.579027510000003</v>
      </c>
      <c r="N73" s="73">
        <v>81.297542239999999</v>
      </c>
      <c r="O73" s="69">
        <v>46.93357752</v>
      </c>
      <c r="P73" s="69">
        <v>57.826403790000001</v>
      </c>
      <c r="Q73" s="69">
        <v>72.225936860000004</v>
      </c>
      <c r="R73" s="69">
        <v>83.118763130000005</v>
      </c>
      <c r="S73" s="69">
        <v>50.037277879999998</v>
      </c>
      <c r="T73" s="69">
        <v>63.754616830000003</v>
      </c>
      <c r="U73" s="69">
        <v>81.887952569999996</v>
      </c>
      <c r="V73" s="69">
        <v>95.605291519999994</v>
      </c>
      <c r="W73" s="69">
        <v>49.662179739999999</v>
      </c>
      <c r="X73" s="69">
        <v>60.294942370000001</v>
      </c>
      <c r="Y73" s="69">
        <v>74.350690020000002</v>
      </c>
      <c r="Z73" s="69">
        <v>84.983452650000004</v>
      </c>
    </row>
    <row r="74" spans="1:26">
      <c r="A74" s="72">
        <v>71</v>
      </c>
      <c r="C74" s="69">
        <v>55</v>
      </c>
      <c r="D74" s="69">
        <v>69</v>
      </c>
      <c r="E74" s="69">
        <v>88</v>
      </c>
      <c r="F74" s="73">
        <v>103</v>
      </c>
      <c r="G74" s="69">
        <v>44.234960209999997</v>
      </c>
      <c r="H74" s="69">
        <v>54.196946480000001</v>
      </c>
      <c r="I74" s="69">
        <v>67.365976020000005</v>
      </c>
      <c r="J74" s="69">
        <v>77.327962290000002</v>
      </c>
      <c r="K74" s="78">
        <v>38.73349193</v>
      </c>
      <c r="L74" s="69">
        <v>51.270960240000001</v>
      </c>
      <c r="M74" s="69">
        <v>67.844591820000005</v>
      </c>
      <c r="N74" s="73">
        <v>80.382060129999999</v>
      </c>
      <c r="O74" s="69">
        <v>46.475739179999998</v>
      </c>
      <c r="P74" s="69">
        <v>57.245032420000001</v>
      </c>
      <c r="Q74" s="69">
        <v>71.481263709999993</v>
      </c>
      <c r="R74" s="69">
        <v>82.250556939999996</v>
      </c>
      <c r="S74" s="69">
        <v>49.528792719999998</v>
      </c>
      <c r="T74" s="69">
        <v>63.092905100000003</v>
      </c>
      <c r="U74" s="69">
        <v>81.023686339999998</v>
      </c>
      <c r="V74" s="69">
        <v>94.587798730000003</v>
      </c>
      <c r="W74" s="69">
        <v>49.146638150000001</v>
      </c>
      <c r="X74" s="69">
        <v>59.663043279999997</v>
      </c>
      <c r="Y74" s="69">
        <v>73.564974669999998</v>
      </c>
      <c r="Z74" s="69">
        <v>84.081379799999993</v>
      </c>
    </row>
    <row r="75" spans="1:26">
      <c r="A75" s="72">
        <v>72</v>
      </c>
      <c r="C75" s="69">
        <v>54</v>
      </c>
      <c r="D75" s="69">
        <v>68</v>
      </c>
      <c r="E75" s="69">
        <v>87</v>
      </c>
      <c r="F75" s="73">
        <v>102</v>
      </c>
      <c r="G75" s="69">
        <v>43.836669409999999</v>
      </c>
      <c r="H75" s="69">
        <v>53.660034060000001</v>
      </c>
      <c r="I75" s="69">
        <v>66.645815780000007</v>
      </c>
      <c r="J75" s="69">
        <v>76.469180429999994</v>
      </c>
      <c r="K75" s="78">
        <v>38.426298920000001</v>
      </c>
      <c r="L75" s="69">
        <v>50.787776530000002</v>
      </c>
      <c r="M75" s="69">
        <v>67.128761060000002</v>
      </c>
      <c r="N75" s="73">
        <v>79.490238669999997</v>
      </c>
      <c r="O75" s="69">
        <v>46.028677549999998</v>
      </c>
      <c r="P75" s="69">
        <v>56.677537319999999</v>
      </c>
      <c r="Q75" s="69">
        <v>70.75456423</v>
      </c>
      <c r="R75" s="69">
        <v>81.403424000000001</v>
      </c>
      <c r="S75" s="69">
        <v>49.032479100000003</v>
      </c>
      <c r="T75" s="69">
        <v>62.447183950000003</v>
      </c>
      <c r="U75" s="69">
        <v>80.180459170000006</v>
      </c>
      <c r="V75" s="69">
        <v>93.595164019999999</v>
      </c>
      <c r="W75" s="69">
        <v>48.643547480000002</v>
      </c>
      <c r="X75" s="69">
        <v>59.046469350000002</v>
      </c>
      <c r="Y75" s="69">
        <v>72.798384029999994</v>
      </c>
      <c r="Z75" s="69">
        <v>83.20130589</v>
      </c>
    </row>
    <row r="76" spans="1:26">
      <c r="A76" s="72">
        <v>73</v>
      </c>
      <c r="C76" s="69">
        <v>54</v>
      </c>
      <c r="D76" s="69">
        <v>68</v>
      </c>
      <c r="E76" s="69">
        <v>87</v>
      </c>
      <c r="F76" s="73">
        <v>101</v>
      </c>
      <c r="G76" s="69">
        <v>43.447384939999999</v>
      </c>
      <c r="H76" s="69">
        <v>53.13592938</v>
      </c>
      <c r="I76" s="69">
        <v>65.943488459999998</v>
      </c>
      <c r="J76" s="69">
        <v>75.632032890000005</v>
      </c>
      <c r="K76" s="78">
        <v>38.125729440000001</v>
      </c>
      <c r="L76" s="69">
        <v>50.316063560000003</v>
      </c>
      <c r="M76" s="69">
        <v>66.430808729999995</v>
      </c>
      <c r="N76" s="73">
        <v>78.621142860000006</v>
      </c>
      <c r="O76" s="69">
        <v>45.591994499999998</v>
      </c>
      <c r="P76" s="69">
        <v>56.12340116</v>
      </c>
      <c r="Q76" s="69">
        <v>70.045163489999993</v>
      </c>
      <c r="R76" s="69">
        <v>80.576570140000001</v>
      </c>
      <c r="S76" s="69">
        <v>48.547882610000002</v>
      </c>
      <c r="T76" s="69">
        <v>61.816852679999997</v>
      </c>
      <c r="U76" s="69">
        <v>79.357477009999997</v>
      </c>
      <c r="V76" s="69">
        <v>92.626447089999999</v>
      </c>
      <c r="W76" s="69">
        <v>48.152440300000002</v>
      </c>
      <c r="X76" s="69">
        <v>58.444643679999999</v>
      </c>
      <c r="Y76" s="69">
        <v>72.050196479999997</v>
      </c>
      <c r="Z76" s="69">
        <v>82.34239986</v>
      </c>
    </row>
    <row r="77" spans="1:26">
      <c r="A77" s="72">
        <v>74</v>
      </c>
      <c r="C77" s="69">
        <v>53</v>
      </c>
      <c r="D77" s="69">
        <v>67</v>
      </c>
      <c r="E77" s="69">
        <v>86</v>
      </c>
      <c r="F77" s="73">
        <v>100</v>
      </c>
      <c r="G77" s="69">
        <v>43.066783909999998</v>
      </c>
      <c r="H77" s="69">
        <v>52.624155330000001</v>
      </c>
      <c r="I77" s="69">
        <v>65.258313110000003</v>
      </c>
      <c r="J77" s="69">
        <v>74.815684529999999</v>
      </c>
      <c r="K77" s="78">
        <v>37.831552819999999</v>
      </c>
      <c r="L77" s="69">
        <v>49.855393499999998</v>
      </c>
      <c r="M77" s="69">
        <v>65.750046310000002</v>
      </c>
      <c r="N77" s="73">
        <v>77.773886989999994</v>
      </c>
      <c r="O77" s="69">
        <v>45.165311809999999</v>
      </c>
      <c r="P77" s="69">
        <v>55.582132600000001</v>
      </c>
      <c r="Q77" s="69">
        <v>69.352420670000001</v>
      </c>
      <c r="R77" s="69">
        <v>79.769241469999997</v>
      </c>
      <c r="S77" s="69">
        <v>48.074571740000003</v>
      </c>
      <c r="T77" s="69">
        <v>61.201341030000002</v>
      </c>
      <c r="U77" s="69">
        <v>78.55398615</v>
      </c>
      <c r="V77" s="69">
        <v>91.680755439999999</v>
      </c>
      <c r="W77" s="69">
        <v>47.672872769999998</v>
      </c>
      <c r="X77" s="69">
        <v>57.857018590000003</v>
      </c>
      <c r="Y77" s="69">
        <v>71.319727060000005</v>
      </c>
      <c r="Z77" s="69">
        <v>81.503872869999995</v>
      </c>
    </row>
    <row r="78" spans="1:26">
      <c r="A78" s="72">
        <v>75</v>
      </c>
      <c r="C78" s="69">
        <v>52</v>
      </c>
      <c r="D78" s="69">
        <v>66</v>
      </c>
      <c r="E78" s="69">
        <v>85</v>
      </c>
      <c r="F78" s="73">
        <v>99</v>
      </c>
      <c r="G78" s="69">
        <v>42.694559150000003</v>
      </c>
      <c r="H78" s="69">
        <v>52.124258769999997</v>
      </c>
      <c r="I78" s="69">
        <v>64.589643620000004</v>
      </c>
      <c r="J78" s="69">
        <v>74.019343239999998</v>
      </c>
      <c r="K78" s="78">
        <v>37.54354944</v>
      </c>
      <c r="L78" s="69">
        <v>49.405360039999998</v>
      </c>
      <c r="M78" s="69">
        <v>65.085820740000003</v>
      </c>
      <c r="N78" s="73">
        <v>76.947631349999995</v>
      </c>
      <c r="O78" s="69">
        <v>44.748269899999997</v>
      </c>
      <c r="P78" s="69">
        <v>55.053264759999998</v>
      </c>
      <c r="Q78" s="69">
        <v>68.675726979999993</v>
      </c>
      <c r="R78" s="69">
        <v>78.980721840000001</v>
      </c>
      <c r="S78" s="69">
        <v>47.612136409999998</v>
      </c>
      <c r="T78" s="69">
        <v>60.600107170000001</v>
      </c>
      <c r="U78" s="69">
        <v>77.769270610000007</v>
      </c>
      <c r="V78" s="69">
        <v>90.757241370000003</v>
      </c>
      <c r="W78" s="69">
        <v>47.204423249999998</v>
      </c>
      <c r="X78" s="69">
        <v>57.283073780000002</v>
      </c>
      <c r="Y78" s="69">
        <v>70.606325080000005</v>
      </c>
      <c r="Z78" s="69">
        <v>80.684975609999995</v>
      </c>
    </row>
    <row r="79" spans="1:26">
      <c r="A79" s="72">
        <v>76</v>
      </c>
      <c r="C79" s="69">
        <v>52</v>
      </c>
      <c r="D79" s="69">
        <v>66</v>
      </c>
      <c r="E79" s="69">
        <v>84</v>
      </c>
      <c r="F79" s="73">
        <v>98</v>
      </c>
      <c r="G79" s="69">
        <v>42.330418280000004</v>
      </c>
      <c r="H79" s="69">
        <v>51.635809029999997</v>
      </c>
      <c r="I79" s="69">
        <v>63.93686649</v>
      </c>
      <c r="J79" s="69">
        <v>73.242257240000001</v>
      </c>
      <c r="K79" s="78">
        <v>37.26150999</v>
      </c>
      <c r="L79" s="69">
        <v>48.965577089999996</v>
      </c>
      <c r="M79" s="69">
        <v>64.437512220000002</v>
      </c>
      <c r="N79" s="73">
        <v>76.141579329999999</v>
      </c>
      <c r="O79" s="69">
        <v>44.340526699999998</v>
      </c>
      <c r="P79" s="69">
        <v>54.536353579999997</v>
      </c>
      <c r="Q79" s="69">
        <v>68.014503579999996</v>
      </c>
      <c r="R79" s="69">
        <v>78.210330459999994</v>
      </c>
      <c r="S79" s="69">
        <v>47.16018665</v>
      </c>
      <c r="T79" s="69">
        <v>60.012635979999999</v>
      </c>
      <c r="U79" s="69">
        <v>77.002649829999996</v>
      </c>
      <c r="V79" s="69">
        <v>89.855099159999995</v>
      </c>
      <c r="W79" s="69">
        <v>46.746690829999999</v>
      </c>
      <c r="X79" s="69">
        <v>56.72231464</v>
      </c>
      <c r="Y79" s="69">
        <v>69.909372020000006</v>
      </c>
      <c r="Z79" s="69">
        <v>79.884995840000002</v>
      </c>
    </row>
    <row r="80" spans="1:26">
      <c r="A80" s="72">
        <v>77</v>
      </c>
      <c r="C80" s="69">
        <v>52</v>
      </c>
      <c r="D80" s="69">
        <v>65</v>
      </c>
      <c r="E80" s="69">
        <v>83</v>
      </c>
      <c r="F80" s="73">
        <v>97</v>
      </c>
      <c r="G80" s="69">
        <v>41.974082780000003</v>
      </c>
      <c r="H80" s="69">
        <v>51.158396490000001</v>
      </c>
      <c r="I80" s="69">
        <v>63.29939881</v>
      </c>
      <c r="J80" s="69">
        <v>72.483712519999997</v>
      </c>
      <c r="K80" s="78">
        <v>36.985234910000003</v>
      </c>
      <c r="L80" s="69">
        <v>48.535677489999998</v>
      </c>
      <c r="M80" s="69">
        <v>63.804532029999997</v>
      </c>
      <c r="N80" s="73">
        <v>75.354974600000006</v>
      </c>
      <c r="O80" s="69">
        <v>43.941756560000002</v>
      </c>
      <c r="P80" s="69">
        <v>54.030976510000002</v>
      </c>
      <c r="Q80" s="69">
        <v>67.368199799999999</v>
      </c>
      <c r="R80" s="69">
        <v>77.45741975</v>
      </c>
      <c r="S80" s="69">
        <v>46.718351370000001</v>
      </c>
      <c r="T80" s="69">
        <v>59.438437380000003</v>
      </c>
      <c r="U80" s="69">
        <v>76.25347644</v>
      </c>
      <c r="V80" s="69">
        <v>88.973562450000003</v>
      </c>
      <c r="W80" s="69">
        <v>46.299294080000003</v>
      </c>
      <c r="X80" s="69">
        <v>56.174270620000001</v>
      </c>
      <c r="Y80" s="69">
        <v>69.228279549999996</v>
      </c>
      <c r="Z80" s="69">
        <v>79.103256090000002</v>
      </c>
    </row>
    <row r="81" spans="1:26">
      <c r="A81" s="72">
        <v>78</v>
      </c>
      <c r="C81" s="69">
        <v>51</v>
      </c>
      <c r="D81" s="69">
        <v>64</v>
      </c>
      <c r="E81" s="69">
        <v>82</v>
      </c>
      <c r="F81" s="73">
        <v>96</v>
      </c>
      <c r="G81" s="69">
        <v>41.625287200000002</v>
      </c>
      <c r="H81" s="69">
        <v>50.691631309999998</v>
      </c>
      <c r="I81" s="69">
        <v>62.676686310000001</v>
      </c>
      <c r="J81" s="69">
        <v>71.743030430000005</v>
      </c>
      <c r="K81" s="78">
        <v>36.714533799999998</v>
      </c>
      <c r="L81" s="69">
        <v>48.115311839999997</v>
      </c>
      <c r="M81" s="69">
        <v>63.186320629999997</v>
      </c>
      <c r="N81" s="73">
        <v>74.587098659999995</v>
      </c>
      <c r="O81" s="69">
        <v>43.551649300000001</v>
      </c>
      <c r="P81" s="69">
        <v>53.536731160000002</v>
      </c>
      <c r="Q81" s="69">
        <v>66.736291399999999</v>
      </c>
      <c r="R81" s="69">
        <v>76.721373249999999</v>
      </c>
      <c r="S81" s="69">
        <v>46.286277210000002</v>
      </c>
      <c r="T81" s="69">
        <v>58.877044820000002</v>
      </c>
      <c r="U81" s="69">
        <v>75.521134250000003</v>
      </c>
      <c r="V81" s="69">
        <v>88.111901860000003</v>
      </c>
      <c r="W81" s="69">
        <v>45.861869890000001</v>
      </c>
      <c r="X81" s="69">
        <v>55.63849381</v>
      </c>
      <c r="Y81" s="69">
        <v>68.562487640000001</v>
      </c>
      <c r="Z81" s="69">
        <v>78.339111549999998</v>
      </c>
    </row>
    <row r="82" spans="1:26">
      <c r="A82" s="72">
        <v>79</v>
      </c>
      <c r="C82" s="69">
        <v>51</v>
      </c>
      <c r="D82" s="69">
        <v>64</v>
      </c>
      <c r="E82" s="69">
        <v>81</v>
      </c>
      <c r="F82" s="73">
        <v>95</v>
      </c>
      <c r="G82" s="69">
        <v>41.283778359999999</v>
      </c>
      <c r="H82" s="69">
        <v>50.235142250000003</v>
      </c>
      <c r="I82" s="69">
        <v>62.06820166</v>
      </c>
      <c r="J82" s="69">
        <v>71.019565549999996</v>
      </c>
      <c r="K82" s="78">
        <v>36.449224880000003</v>
      </c>
      <c r="L82" s="69">
        <v>47.704147460000002</v>
      </c>
      <c r="M82" s="69">
        <v>62.582345830000001</v>
      </c>
      <c r="N82" s="73">
        <v>73.837268409999993</v>
      </c>
      <c r="O82" s="69">
        <v>43.169909220000001</v>
      </c>
      <c r="P82" s="69">
        <v>53.053234109999998</v>
      </c>
      <c r="Q82" s="69">
        <v>66.118278950000004</v>
      </c>
      <c r="R82" s="69">
        <v>76.001603840000001</v>
      </c>
      <c r="S82" s="69">
        <v>45.863627489999999</v>
      </c>
      <c r="T82" s="69">
        <v>58.328013859999999</v>
      </c>
      <c r="U82" s="69">
        <v>74.805036380000004</v>
      </c>
      <c r="V82" s="69">
        <v>87.269422750000004</v>
      </c>
      <c r="W82" s="69">
        <v>45.43407234</v>
      </c>
      <c r="X82" s="69">
        <v>55.11455754</v>
      </c>
      <c r="Y82" s="69">
        <v>67.911462889999996</v>
      </c>
      <c r="Z82" s="69">
        <v>77.591948090000002</v>
      </c>
    </row>
    <row r="83" spans="1:26">
      <c r="A83" s="72">
        <v>80</v>
      </c>
      <c r="C83" s="69">
        <v>50</v>
      </c>
      <c r="D83" s="69">
        <v>63</v>
      </c>
      <c r="E83" s="69">
        <v>81</v>
      </c>
      <c r="F83" s="73">
        <v>94</v>
      </c>
      <c r="G83" s="69">
        <v>40.949314659999999</v>
      </c>
      <c r="H83" s="69">
        <v>49.788575520000002</v>
      </c>
      <c r="I83" s="69">
        <v>61.47344279</v>
      </c>
      <c r="J83" s="69">
        <v>70.312703650000003</v>
      </c>
      <c r="K83" s="78">
        <v>36.18913448</v>
      </c>
      <c r="L83" s="69">
        <v>47.301867360000003</v>
      </c>
      <c r="M83" s="69">
        <v>61.992101150000003</v>
      </c>
      <c r="N83" s="73">
        <v>73.104834030000006</v>
      </c>
      <c r="O83" s="69">
        <v>42.796254329999996</v>
      </c>
      <c r="P83" s="69">
        <v>52.580119789999998</v>
      </c>
      <c r="Q83" s="69">
        <v>65.513686430000007</v>
      </c>
      <c r="R83" s="69">
        <v>75.297551900000002</v>
      </c>
      <c r="S83" s="69">
        <v>45.450081189999999</v>
      </c>
      <c r="T83" s="69">
        <v>57.790920849999999</v>
      </c>
      <c r="U83" s="69">
        <v>74.104623500000002</v>
      </c>
      <c r="V83" s="69">
        <v>86.445463160000003</v>
      </c>
      <c r="W83" s="69">
        <v>45.015571680000001</v>
      </c>
      <c r="X83" s="69">
        <v>54.602055149999998</v>
      </c>
      <c r="Y83" s="69">
        <v>67.274696969999994</v>
      </c>
      <c r="Z83" s="69">
        <v>76.861180430000005</v>
      </c>
    </row>
    <row r="84" spans="1:26">
      <c r="A84" s="72">
        <v>81</v>
      </c>
      <c r="C84" s="69">
        <v>50</v>
      </c>
      <c r="D84" s="69">
        <v>63</v>
      </c>
      <c r="E84" s="69">
        <v>80</v>
      </c>
      <c r="F84" s="73">
        <v>93</v>
      </c>
      <c r="G84" s="69">
        <v>40.621665380000003</v>
      </c>
      <c r="H84" s="69">
        <v>49.351593790000003</v>
      </c>
      <c r="I84" s="69">
        <v>60.891931409999998</v>
      </c>
      <c r="J84" s="69">
        <v>69.621859810000004</v>
      </c>
      <c r="K84" s="78">
        <v>35.934096650000001</v>
      </c>
      <c r="L84" s="69">
        <v>46.908169309999998</v>
      </c>
      <c r="M84" s="69">
        <v>61.415104280000001</v>
      </c>
      <c r="N84" s="73">
        <v>72.389176939999999</v>
      </c>
      <c r="O84" s="69">
        <v>42.43041547</v>
      </c>
      <c r="P84" s="69">
        <v>52.117039439999999</v>
      </c>
      <c r="Q84" s="69">
        <v>64.9220598</v>
      </c>
      <c r="R84" s="69">
        <v>74.608683760000005</v>
      </c>
      <c r="S84" s="69">
        <v>45.045332080000001</v>
      </c>
      <c r="T84" s="69">
        <v>57.265361720000001</v>
      </c>
      <c r="U84" s="69">
        <v>73.419362219999996</v>
      </c>
      <c r="V84" s="69">
        <v>85.639391869999997</v>
      </c>
      <c r="W84" s="69">
        <v>44.606053420000002</v>
      </c>
      <c r="X84" s="69">
        <v>54.100598789999999</v>
      </c>
      <c r="Y84" s="69">
        <v>66.651705070000006</v>
      </c>
      <c r="Z84" s="69">
        <v>76.146250440000003</v>
      </c>
    </row>
    <row r="85" spans="1:26">
      <c r="A85" s="72">
        <v>82</v>
      </c>
      <c r="C85" s="69">
        <v>49</v>
      </c>
      <c r="D85" s="69">
        <v>62</v>
      </c>
      <c r="E85" s="69">
        <v>79</v>
      </c>
      <c r="F85" s="73">
        <v>92</v>
      </c>
      <c r="G85" s="69">
        <v>40.300610110000001</v>
      </c>
      <c r="H85" s="69">
        <v>48.923875189999997</v>
      </c>
      <c r="I85" s="69">
        <v>60.323211579999999</v>
      </c>
      <c r="J85" s="69">
        <v>68.946476669999996</v>
      </c>
      <c r="K85" s="78">
        <v>35.683952640000001</v>
      </c>
      <c r="L85" s="69">
        <v>46.522765010000001</v>
      </c>
      <c r="M85" s="69">
        <v>60.85089558</v>
      </c>
      <c r="N85" s="73">
        <v>71.689707949999999</v>
      </c>
      <c r="O85" s="69">
        <v>42.072135670000002</v>
      </c>
      <c r="P85" s="69">
        <v>51.663660110000002</v>
      </c>
      <c r="Q85" s="69">
        <v>64.342965739999997</v>
      </c>
      <c r="R85" s="69">
        <v>73.934490179999997</v>
      </c>
      <c r="S85" s="69">
        <v>44.649087829999999</v>
      </c>
      <c r="T85" s="69">
        <v>56.750950860000003</v>
      </c>
      <c r="U85" s="69">
        <v>72.748743599999997</v>
      </c>
      <c r="V85" s="69">
        <v>84.850606630000001</v>
      </c>
      <c r="W85" s="69">
        <v>44.205217380000001</v>
      </c>
      <c r="X85" s="69">
        <v>53.609818369999999</v>
      </c>
      <c r="Y85" s="69">
        <v>66.04202463</v>
      </c>
      <c r="Z85" s="69">
        <v>75.446625609999998</v>
      </c>
    </row>
    <row r="86" spans="1:26">
      <c r="A86" s="72">
        <v>83</v>
      </c>
      <c r="C86" s="69">
        <v>49</v>
      </c>
      <c r="D86" s="69">
        <v>62</v>
      </c>
      <c r="E86" s="69">
        <v>78</v>
      </c>
      <c r="F86" s="73">
        <v>91</v>
      </c>
      <c r="G86" s="69">
        <v>39.985938109999999</v>
      </c>
      <c r="H86" s="69">
        <v>48.505112490000002</v>
      </c>
      <c r="I86" s="69">
        <v>59.766848459999999</v>
      </c>
      <c r="J86" s="69">
        <v>68.286022840000001</v>
      </c>
      <c r="K86" s="78">
        <v>35.438550569999997</v>
      </c>
      <c r="L86" s="69">
        <v>46.145379230000003</v>
      </c>
      <c r="M86" s="69">
        <v>60.29903685</v>
      </c>
      <c r="N86" s="73">
        <v>71.005865510000007</v>
      </c>
      <c r="O86" s="69">
        <v>41.721169369999998</v>
      </c>
      <c r="P86" s="69">
        <v>51.21966381</v>
      </c>
      <c r="Q86" s="69">
        <v>63.775990479999997</v>
      </c>
      <c r="R86" s="69">
        <v>73.274484920000006</v>
      </c>
      <c r="S86" s="69">
        <v>44.261069259999999</v>
      </c>
      <c r="T86" s="69">
        <v>56.247320039999998</v>
      </c>
      <c r="U86" s="69">
        <v>72.092281709999995</v>
      </c>
      <c r="V86" s="69">
        <v>84.078532499999994</v>
      </c>
      <c r="W86" s="69">
        <v>43.81277695</v>
      </c>
      <c r="X86" s="69">
        <v>53.129360480000003</v>
      </c>
      <c r="Y86" s="69">
        <v>65.445213989999999</v>
      </c>
      <c r="Z86" s="69">
        <v>74.761797509999994</v>
      </c>
    </row>
    <row r="87" spans="1:26">
      <c r="A87" s="72">
        <v>84</v>
      </c>
      <c r="C87" s="69">
        <v>48</v>
      </c>
      <c r="D87" s="69">
        <v>61</v>
      </c>
      <c r="E87" s="69">
        <v>78</v>
      </c>
      <c r="F87" s="73">
        <v>90</v>
      </c>
      <c r="G87" s="69">
        <v>39.677447839999999</v>
      </c>
      <c r="H87" s="69">
        <v>48.095012189999998</v>
      </c>
      <c r="I87" s="69">
        <v>59.222427000000003</v>
      </c>
      <c r="J87" s="69">
        <v>67.639991350000003</v>
      </c>
      <c r="K87" s="78">
        <v>35.197745019999999</v>
      </c>
      <c r="L87" s="69">
        <v>45.775749140000002</v>
      </c>
      <c r="M87" s="69">
        <v>59.759109969999997</v>
      </c>
      <c r="N87" s="73">
        <v>70.33711409</v>
      </c>
      <c r="O87" s="69">
        <v>41.377281830000001</v>
      </c>
      <c r="P87" s="69">
        <v>50.784746640000002</v>
      </c>
      <c r="Q87" s="69">
        <v>63.220738679999997</v>
      </c>
      <c r="R87" s="69">
        <v>72.628203499999998</v>
      </c>
      <c r="S87" s="69">
        <v>43.881009540000001</v>
      </c>
      <c r="T87" s="69">
        <v>55.754117450000003</v>
      </c>
      <c r="U87" s="69">
        <v>71.44951236</v>
      </c>
      <c r="V87" s="69">
        <v>83.322620270000002</v>
      </c>
      <c r="W87" s="69">
        <v>43.42845827</v>
      </c>
      <c r="X87" s="69">
        <v>52.65888751</v>
      </c>
      <c r="Y87" s="69">
        <v>64.860851249999996</v>
      </c>
      <c r="Z87" s="69">
        <v>74.091280490000003</v>
      </c>
    </row>
    <row r="88" spans="1:26">
      <c r="A88" s="72">
        <v>85</v>
      </c>
      <c r="C88" s="69">
        <v>48</v>
      </c>
      <c r="D88" s="69">
        <v>60</v>
      </c>
      <c r="E88" s="69">
        <v>77</v>
      </c>
      <c r="F88" s="73">
        <v>89</v>
      </c>
      <c r="G88" s="69">
        <v>39.37494641</v>
      </c>
      <c r="H88" s="69">
        <v>47.693293799999999</v>
      </c>
      <c r="I88" s="69">
        <v>58.689550910000001</v>
      </c>
      <c r="J88" s="69">
        <v>67.00789829</v>
      </c>
      <c r="K88" s="78">
        <v>34.961396700000002</v>
      </c>
      <c r="L88" s="69">
        <v>45.413623540000003</v>
      </c>
      <c r="M88" s="69">
        <v>59.230715859999997</v>
      </c>
      <c r="N88" s="73">
        <v>69.682942710000006</v>
      </c>
      <c r="O88" s="69">
        <v>41.04024853</v>
      </c>
      <c r="P88" s="69">
        <v>50.358618010000001</v>
      </c>
      <c r="Q88" s="69">
        <v>62.676832429999997</v>
      </c>
      <c r="R88" s="69">
        <v>71.995201910000006</v>
      </c>
      <c r="S88" s="69">
        <v>43.508653559999999</v>
      </c>
      <c r="T88" s="69">
        <v>55.271006749999998</v>
      </c>
      <c r="U88" s="69">
        <v>70.819991889999997</v>
      </c>
      <c r="V88" s="69">
        <v>82.582345070000002</v>
      </c>
      <c r="W88" s="69">
        <v>43.051999539999997</v>
      </c>
      <c r="X88" s="69">
        <v>52.198076739999998</v>
      </c>
      <c r="Y88" s="69">
        <v>64.288533139999998</v>
      </c>
      <c r="Z88" s="69">
        <v>73.434610340000006</v>
      </c>
    </row>
    <row r="89" spans="1:26">
      <c r="A89" s="72">
        <v>86</v>
      </c>
      <c r="C89" s="69">
        <v>48</v>
      </c>
      <c r="D89" s="69">
        <v>60</v>
      </c>
      <c r="E89" s="69">
        <v>76</v>
      </c>
      <c r="F89" s="73">
        <v>89</v>
      </c>
      <c r="G89" s="69">
        <v>39.078249130000003</v>
      </c>
      <c r="H89" s="69">
        <v>47.29968908</v>
      </c>
      <c r="I89" s="69">
        <v>58.167841539999998</v>
      </c>
      <c r="J89" s="69">
        <v>66.389281499999996</v>
      </c>
      <c r="K89" s="78">
        <v>34.729372099999999</v>
      </c>
      <c r="L89" s="69">
        <v>45.058762270000003</v>
      </c>
      <c r="M89" s="69">
        <v>58.713473329999999</v>
      </c>
      <c r="N89" s="73">
        <v>69.042863490000002</v>
      </c>
      <c r="O89" s="69">
        <v>40.709854610000001</v>
      </c>
      <c r="P89" s="69">
        <v>49.940999910000002</v>
      </c>
      <c r="Q89" s="69">
        <v>62.143910230000003</v>
      </c>
      <c r="R89" s="69">
        <v>71.375055529999997</v>
      </c>
      <c r="S89" s="69">
        <v>43.143757270000002</v>
      </c>
      <c r="T89" s="69">
        <v>54.797666270000001</v>
      </c>
      <c r="U89" s="69">
        <v>70.203295979999993</v>
      </c>
      <c r="V89" s="69">
        <v>81.857204969999998</v>
      </c>
      <c r="W89" s="69">
        <v>42.683150339999997</v>
      </c>
      <c r="X89" s="69">
        <v>51.74661949</v>
      </c>
      <c r="Y89" s="69">
        <v>63.727874010000001</v>
      </c>
      <c r="Z89" s="69">
        <v>72.791343170000005</v>
      </c>
    </row>
    <row r="90" spans="1:26">
      <c r="A90" s="72">
        <v>87</v>
      </c>
      <c r="C90" s="69">
        <v>47</v>
      </c>
      <c r="D90" s="69">
        <v>59</v>
      </c>
      <c r="E90" s="69">
        <v>76</v>
      </c>
      <c r="F90" s="73">
        <v>88</v>
      </c>
      <c r="G90" s="69">
        <v>38.78717906</v>
      </c>
      <c r="H90" s="69">
        <v>46.913941430000001</v>
      </c>
      <c r="I90" s="69">
        <v>57.656936930000001</v>
      </c>
      <c r="J90" s="69">
        <v>65.783699299999995</v>
      </c>
      <c r="K90" s="78">
        <v>34.501543220000002</v>
      </c>
      <c r="L90" s="69">
        <v>44.710935540000001</v>
      </c>
      <c r="M90" s="69">
        <v>58.207018079999997</v>
      </c>
      <c r="N90" s="73">
        <v>68.416410400000004</v>
      </c>
      <c r="O90" s="69">
        <v>40.385894319999998</v>
      </c>
      <c r="P90" s="69">
        <v>49.53162622</v>
      </c>
      <c r="Q90" s="69">
        <v>61.621626159999998</v>
      </c>
      <c r="R90" s="69">
        <v>70.767358060000007</v>
      </c>
      <c r="S90" s="69">
        <v>42.78608706</v>
      </c>
      <c r="T90" s="69">
        <v>54.333788149999997</v>
      </c>
      <c r="U90" s="69">
        <v>69.599018659999999</v>
      </c>
      <c r="V90" s="69">
        <v>81.146719750000003</v>
      </c>
      <c r="W90" s="69">
        <v>42.321671019999997</v>
      </c>
      <c r="X90" s="69">
        <v>51.30422042</v>
      </c>
      <c r="Y90" s="69">
        <v>63.178504840000002</v>
      </c>
      <c r="Z90" s="69">
        <v>72.161054250000007</v>
      </c>
    </row>
    <row r="91" spans="1:26">
      <c r="A91" s="72">
        <v>88</v>
      </c>
      <c r="C91" s="69">
        <v>47</v>
      </c>
      <c r="D91" s="69">
        <v>59</v>
      </c>
      <c r="E91" s="69">
        <v>75</v>
      </c>
      <c r="F91" s="73">
        <v>87</v>
      </c>
      <c r="G91" s="69">
        <v>38.501566619999998</v>
      </c>
      <c r="H91" s="69">
        <v>46.535805189999998</v>
      </c>
      <c r="I91" s="69">
        <v>57.156490869999999</v>
      </c>
      <c r="J91" s="69">
        <v>65.190729439999998</v>
      </c>
      <c r="K91" s="78">
        <v>34.277787250000003</v>
      </c>
      <c r="L91" s="69">
        <v>44.369923450000002</v>
      </c>
      <c r="M91" s="69">
        <v>57.711001830000001</v>
      </c>
      <c r="N91" s="73">
        <v>67.803138020000006</v>
      </c>
      <c r="O91" s="69">
        <v>40.068170569999999</v>
      </c>
      <c r="P91" s="69">
        <v>49.130242080000002</v>
      </c>
      <c r="Q91" s="69">
        <v>61.109649009999998</v>
      </c>
      <c r="R91" s="69">
        <v>70.17172051</v>
      </c>
      <c r="S91" s="69">
        <v>42.435419199999998</v>
      </c>
      <c r="T91" s="69">
        <v>53.87907766</v>
      </c>
      <c r="U91" s="69">
        <v>69.006771279999995</v>
      </c>
      <c r="V91" s="69">
        <v>80.450429729999996</v>
      </c>
      <c r="W91" s="69">
        <v>41.967332130000003</v>
      </c>
      <c r="X91" s="69">
        <v>50.870596749999997</v>
      </c>
      <c r="Y91" s="69">
        <v>62.640072379999999</v>
      </c>
      <c r="Z91" s="69">
        <v>71.54333699</v>
      </c>
    </row>
    <row r="92" spans="1:26">
      <c r="A92" s="72">
        <v>89</v>
      </c>
      <c r="C92" s="69">
        <v>46</v>
      </c>
      <c r="D92" s="69">
        <v>58</v>
      </c>
      <c r="E92" s="69">
        <v>74</v>
      </c>
      <c r="F92" s="73">
        <v>86</v>
      </c>
      <c r="G92" s="69">
        <v>38.221249180000001</v>
      </c>
      <c r="H92" s="69">
        <v>46.165045079999999</v>
      </c>
      <c r="I92" s="69">
        <v>56.666172060000001</v>
      </c>
      <c r="J92" s="69">
        <v>64.609967960000006</v>
      </c>
      <c r="K92" s="78">
        <v>34.057986329999999</v>
      </c>
      <c r="L92" s="69">
        <v>44.03551538</v>
      </c>
      <c r="M92" s="69">
        <v>57.225091339999999</v>
      </c>
      <c r="N92" s="73">
        <v>67.202620390000007</v>
      </c>
      <c r="O92" s="69">
        <v>39.756494459999999</v>
      </c>
      <c r="P92" s="69">
        <v>48.736603299999999</v>
      </c>
      <c r="Q92" s="69">
        <v>60.607661469999996</v>
      </c>
      <c r="R92" s="69">
        <v>69.587770309999996</v>
      </c>
      <c r="S92" s="69">
        <v>42.091539359999999</v>
      </c>
      <c r="T92" s="69">
        <v>53.433252430000003</v>
      </c>
      <c r="U92" s="69">
        <v>68.426181580000005</v>
      </c>
      <c r="V92" s="69">
        <v>79.767894650000002</v>
      </c>
      <c r="W92" s="69">
        <v>41.619913869999998</v>
      </c>
      <c r="X92" s="69">
        <v>50.445477599999997</v>
      </c>
      <c r="Y92" s="69">
        <v>62.112238259999998</v>
      </c>
      <c r="Z92" s="69">
        <v>70.937801989999997</v>
      </c>
    </row>
    <row r="93" spans="1:26">
      <c r="A93" s="72">
        <v>90</v>
      </c>
      <c r="C93" s="69">
        <v>46</v>
      </c>
      <c r="D93" s="69">
        <v>58</v>
      </c>
      <c r="E93" s="69">
        <v>74</v>
      </c>
      <c r="F93" s="73">
        <v>86</v>
      </c>
      <c r="G93" s="69">
        <v>37.946070730000002</v>
      </c>
      <c r="H93" s="69">
        <v>45.801435679999997</v>
      </c>
      <c r="I93" s="69">
        <v>56.185663310000002</v>
      </c>
      <c r="J93" s="69">
        <v>64.041028269999998</v>
      </c>
      <c r="K93" s="78">
        <v>33.842027280000003</v>
      </c>
      <c r="L93" s="69">
        <v>43.707509539999997</v>
      </c>
      <c r="M93" s="69">
        <v>56.748967710000002</v>
      </c>
      <c r="N93" s="73">
        <v>66.614449969999995</v>
      </c>
      <c r="O93" s="69">
        <v>39.450684840000001</v>
      </c>
      <c r="P93" s="69">
        <v>48.350475779999996</v>
      </c>
      <c r="Q93" s="69">
        <v>60.115359460000001</v>
      </c>
      <c r="R93" s="69">
        <v>69.015150399999996</v>
      </c>
      <c r="S93" s="69">
        <v>41.754242040000001</v>
      </c>
      <c r="T93" s="69">
        <v>52.996041849999997</v>
      </c>
      <c r="U93" s="69">
        <v>67.856892849999994</v>
      </c>
      <c r="V93" s="69">
        <v>79.098692659999998</v>
      </c>
      <c r="W93" s="69">
        <v>41.27920555</v>
      </c>
      <c r="X93" s="69">
        <v>50.028603400000001</v>
      </c>
      <c r="Y93" s="69">
        <v>61.59467823</v>
      </c>
      <c r="Z93" s="69">
        <v>70.344076090000001</v>
      </c>
    </row>
    <row r="94" spans="1:26">
      <c r="A94" s="72">
        <v>91</v>
      </c>
      <c r="C94" s="69">
        <v>46</v>
      </c>
      <c r="D94" s="69">
        <v>57</v>
      </c>
      <c r="E94" s="69">
        <v>73</v>
      </c>
      <c r="F94" s="73">
        <v>85</v>
      </c>
      <c r="G94" s="69">
        <v>37.675881490000002</v>
      </c>
      <c r="H94" s="69">
        <v>45.444760860000002</v>
      </c>
      <c r="I94" s="69">
        <v>55.714660770000002</v>
      </c>
      <c r="J94" s="69">
        <v>63.483540150000003</v>
      </c>
      <c r="K94" s="78">
        <v>33.629801350000001</v>
      </c>
      <c r="L94" s="69">
        <v>43.385712490000003</v>
      </c>
      <c r="M94" s="69">
        <v>56.28232551</v>
      </c>
      <c r="N94" s="73">
        <v>66.038236639999994</v>
      </c>
      <c r="O94" s="69">
        <v>39.150567930000001</v>
      </c>
      <c r="P94" s="69">
        <v>47.971634999999999</v>
      </c>
      <c r="Q94" s="69">
        <v>59.63245139</v>
      </c>
      <c r="R94" s="69">
        <v>68.453518459999998</v>
      </c>
      <c r="S94" s="69">
        <v>41.423330190000001</v>
      </c>
      <c r="T94" s="69">
        <v>52.56718644</v>
      </c>
      <c r="U94" s="69">
        <v>67.298563099999996</v>
      </c>
      <c r="V94" s="69">
        <v>78.442419349999994</v>
      </c>
      <c r="W94" s="69">
        <v>40.945005170000002</v>
      </c>
      <c r="X94" s="69">
        <v>49.619725250000002</v>
      </c>
      <c r="Y94" s="69">
        <v>61.087081449999999</v>
      </c>
      <c r="Z94" s="69">
        <v>69.761801539999993</v>
      </c>
    </row>
    <row r="95" spans="1:26">
      <c r="A95" s="72">
        <v>92</v>
      </c>
      <c r="C95" s="69">
        <v>45</v>
      </c>
      <c r="D95" s="69">
        <v>57</v>
      </c>
      <c r="E95" s="69">
        <v>72</v>
      </c>
      <c r="F95" s="73">
        <v>84</v>
      </c>
      <c r="G95" s="69">
        <v>37.410537669999997</v>
      </c>
      <c r="H95" s="69">
        <v>45.094813350000003</v>
      </c>
      <c r="I95" s="69">
        <v>55.25287325</v>
      </c>
      <c r="J95" s="69">
        <v>62.937148919999998</v>
      </c>
      <c r="K95" s="78">
        <v>33.421204060000001</v>
      </c>
      <c r="L95" s="69">
        <v>43.069938720000003</v>
      </c>
      <c r="M95" s="69">
        <v>55.824872139999997</v>
      </c>
      <c r="N95" s="73">
        <v>65.473606790000005</v>
      </c>
      <c r="O95" s="69">
        <v>38.855976929999997</v>
      </c>
      <c r="P95" s="69">
        <v>47.599865520000002</v>
      </c>
      <c r="Q95" s="69">
        <v>59.158657509999998</v>
      </c>
      <c r="R95" s="69">
        <v>67.902546110000003</v>
      </c>
      <c r="S95" s="69">
        <v>41.098614730000001</v>
      </c>
      <c r="T95" s="69">
        <v>52.14643727</v>
      </c>
      <c r="U95" s="69">
        <v>66.750864280000002</v>
      </c>
      <c r="V95" s="69">
        <v>77.798686829999994</v>
      </c>
      <c r="W95" s="69">
        <v>40.617118920000003</v>
      </c>
      <c r="X95" s="69">
        <v>49.218604409999998</v>
      </c>
      <c r="Y95" s="69">
        <v>60.589149730000003</v>
      </c>
      <c r="Z95" s="69">
        <v>69.190635209999996</v>
      </c>
    </row>
    <row r="96" spans="1:26">
      <c r="A96" s="72">
        <v>93</v>
      </c>
      <c r="C96" s="69">
        <v>45</v>
      </c>
      <c r="D96" s="69">
        <v>57</v>
      </c>
      <c r="E96" s="69">
        <v>72</v>
      </c>
      <c r="F96" s="73">
        <v>83</v>
      </c>
      <c r="G96" s="69">
        <v>37.149901100000001</v>
      </c>
      <c r="H96" s="69">
        <v>44.751394220000002</v>
      </c>
      <c r="I96" s="69">
        <v>54.800021540000003</v>
      </c>
      <c r="J96" s="69">
        <v>62.401514659999997</v>
      </c>
      <c r="K96" s="78">
        <v>33.216134920000002</v>
      </c>
      <c r="L96" s="69">
        <v>42.760010219999998</v>
      </c>
      <c r="M96" s="69">
        <v>55.376327119999999</v>
      </c>
      <c r="N96" s="73">
        <v>64.920202430000003</v>
      </c>
      <c r="O96" s="69">
        <v>38.566751670000002</v>
      </c>
      <c r="P96" s="69">
        <v>47.234960530000002</v>
      </c>
      <c r="Q96" s="69">
        <v>58.693709370000001</v>
      </c>
      <c r="R96" s="69">
        <v>67.361918230000001</v>
      </c>
      <c r="S96" s="69">
        <v>40.779914140000002</v>
      </c>
      <c r="T96" s="69">
        <v>51.733555440000004</v>
      </c>
      <c r="U96" s="69">
        <v>66.213481619999996</v>
      </c>
      <c r="V96" s="69">
        <v>77.167122919999997</v>
      </c>
      <c r="W96" s="69">
        <v>40.295360809999998</v>
      </c>
      <c r="X96" s="69">
        <v>48.82501173</v>
      </c>
      <c r="Y96" s="69">
        <v>60.100596920000001</v>
      </c>
      <c r="Z96" s="69">
        <v>68.630247850000003</v>
      </c>
    </row>
    <row r="97" spans="1:26">
      <c r="A97" s="72">
        <v>94</v>
      </c>
      <c r="C97" s="69">
        <v>45</v>
      </c>
      <c r="D97" s="69">
        <v>56</v>
      </c>
      <c r="E97" s="69">
        <v>71</v>
      </c>
      <c r="F97" s="73">
        <v>83</v>
      </c>
      <c r="G97" s="69">
        <v>36.893839</v>
      </c>
      <c r="H97" s="69">
        <v>44.414312549999998</v>
      </c>
      <c r="I97" s="69">
        <v>54.355837819999998</v>
      </c>
      <c r="J97" s="69">
        <v>61.876311360000003</v>
      </c>
      <c r="K97" s="78">
        <v>33.01449727</v>
      </c>
      <c r="L97" s="69">
        <v>42.455756139999998</v>
      </c>
      <c r="M97" s="69">
        <v>54.936421490000001</v>
      </c>
      <c r="N97" s="73">
        <v>64.377680359999999</v>
      </c>
      <c r="O97" s="69">
        <v>38.282738279999997</v>
      </c>
      <c r="P97" s="69">
        <v>46.876721410000002</v>
      </c>
      <c r="Q97" s="69">
        <v>58.237349160000001</v>
      </c>
      <c r="R97" s="69">
        <v>66.8313323</v>
      </c>
      <c r="S97" s="69">
        <v>40.46705412</v>
      </c>
      <c r="T97" s="69">
        <v>51.328311550000002</v>
      </c>
      <c r="U97" s="69">
        <v>65.686112899999998</v>
      </c>
      <c r="V97" s="69">
        <v>76.547370340000001</v>
      </c>
      <c r="W97" s="69">
        <v>39.979552239999997</v>
      </c>
      <c r="X97" s="69">
        <v>48.438727239999999</v>
      </c>
      <c r="Y97" s="69">
        <v>59.621148339999998</v>
      </c>
      <c r="Z97" s="69">
        <v>68.080323340000007</v>
      </c>
    </row>
    <row r="98" spans="1:26">
      <c r="A98" s="72">
        <v>95</v>
      </c>
      <c r="C98" s="69">
        <v>44</v>
      </c>
      <c r="D98" s="69">
        <v>56</v>
      </c>
      <c r="E98" s="69">
        <v>71</v>
      </c>
      <c r="F98" s="73">
        <v>82</v>
      </c>
      <c r="G98" s="69">
        <v>36.642223680000001</v>
      </c>
      <c r="H98" s="69">
        <v>44.083384930000001</v>
      </c>
      <c r="I98" s="69">
        <v>53.920065049999998</v>
      </c>
      <c r="J98" s="69">
        <v>61.361226299999998</v>
      </c>
      <c r="K98" s="78">
        <v>32.81619809</v>
      </c>
      <c r="L98" s="69">
        <v>42.157012360000003</v>
      </c>
      <c r="M98" s="69">
        <v>54.50489717</v>
      </c>
      <c r="N98" s="73">
        <v>63.845711440000002</v>
      </c>
      <c r="O98" s="69">
        <v>38.003788880000002</v>
      </c>
      <c r="P98" s="69">
        <v>46.524957319999999</v>
      </c>
      <c r="Q98" s="69">
        <v>57.789329260000002</v>
      </c>
      <c r="R98" s="69">
        <v>66.310497699999999</v>
      </c>
      <c r="S98" s="69">
        <v>40.159867179999999</v>
      </c>
      <c r="T98" s="69">
        <v>50.930485240000003</v>
      </c>
      <c r="U98" s="69">
        <v>65.168467870000001</v>
      </c>
      <c r="V98" s="69">
        <v>75.939085930000005</v>
      </c>
      <c r="W98" s="69">
        <v>39.669521639999999</v>
      </c>
      <c r="X98" s="69">
        <v>48.059539630000003</v>
      </c>
      <c r="Y98" s="69">
        <v>59.150540120000002</v>
      </c>
      <c r="Z98" s="69">
        <v>67.540558110000006</v>
      </c>
    </row>
    <row r="99" spans="1:26">
      <c r="A99" s="72">
        <v>96</v>
      </c>
      <c r="C99" s="69">
        <v>44</v>
      </c>
      <c r="D99" s="69">
        <v>55</v>
      </c>
      <c r="E99" s="69">
        <v>70</v>
      </c>
      <c r="F99" s="73">
        <v>81</v>
      </c>
      <c r="G99" s="69">
        <v>36.394932310000002</v>
      </c>
      <c r="H99" s="69">
        <v>43.758435159999998</v>
      </c>
      <c r="I99" s="69">
        <v>53.492456449999999</v>
      </c>
      <c r="J99" s="69">
        <v>60.855959300000002</v>
      </c>
      <c r="K99" s="78">
        <v>32.621147829999998</v>
      </c>
      <c r="L99" s="69">
        <v>41.86362123</v>
      </c>
      <c r="M99" s="69">
        <v>54.081506490000002</v>
      </c>
      <c r="N99" s="73">
        <v>63.323979889999997</v>
      </c>
      <c r="O99" s="69">
        <v>37.7297613</v>
      </c>
      <c r="P99" s="69">
        <v>46.179484799999997</v>
      </c>
      <c r="Q99" s="69">
        <v>57.349411689999997</v>
      </c>
      <c r="R99" s="69">
        <v>65.799135190000001</v>
      </c>
      <c r="S99" s="69">
        <v>39.858192340000002</v>
      </c>
      <c r="T99" s="69">
        <v>50.53986475</v>
      </c>
      <c r="U99" s="69">
        <v>64.660267599999997</v>
      </c>
      <c r="V99" s="69">
        <v>75.341939999999994</v>
      </c>
      <c r="W99" s="69">
        <v>39.365104119999998</v>
      </c>
      <c r="X99" s="69">
        <v>47.687245820000001</v>
      </c>
      <c r="Y99" s="69">
        <v>58.688518739999999</v>
      </c>
      <c r="Z99" s="69">
        <v>67.010660430000001</v>
      </c>
    </row>
    <row r="100" spans="1:26">
      <c r="A100" s="72">
        <v>97</v>
      </c>
      <c r="C100" s="69">
        <v>44</v>
      </c>
      <c r="D100" s="69">
        <v>55</v>
      </c>
      <c r="E100" s="69">
        <v>70</v>
      </c>
      <c r="F100" s="73">
        <v>81</v>
      </c>
      <c r="G100" s="69">
        <v>36.1518467</v>
      </c>
      <c r="H100" s="69">
        <v>43.439293849999999</v>
      </c>
      <c r="I100" s="69">
        <v>53.072774979999998</v>
      </c>
      <c r="J100" s="69">
        <v>60.360222129999997</v>
      </c>
      <c r="K100" s="78">
        <v>32.429260249999999</v>
      </c>
      <c r="L100" s="69">
        <v>41.575431209999998</v>
      </c>
      <c r="M100" s="69">
        <v>53.666011570000002</v>
      </c>
      <c r="N100" s="73">
        <v>62.812182530000001</v>
      </c>
      <c r="O100" s="69">
        <v>37.460518749999999</v>
      </c>
      <c r="P100" s="69">
        <v>45.840127459999998</v>
      </c>
      <c r="Q100" s="69">
        <v>56.917367640000002</v>
      </c>
      <c r="R100" s="69">
        <v>65.296976349999994</v>
      </c>
      <c r="S100" s="69">
        <v>39.56187482</v>
      </c>
      <c r="T100" s="69">
        <v>50.156246469999999</v>
      </c>
      <c r="U100" s="69">
        <v>64.161243990000003</v>
      </c>
      <c r="V100" s="69">
        <v>74.755615640000002</v>
      </c>
      <c r="W100" s="69">
        <v>39.066141180000002</v>
      </c>
      <c r="X100" s="69">
        <v>47.321650609999999</v>
      </c>
      <c r="Y100" s="69">
        <v>58.234840470000002</v>
      </c>
      <c r="Z100" s="69">
        <v>66.490349899999998</v>
      </c>
    </row>
    <row r="101" spans="1:26">
      <c r="A101" s="72">
        <v>98</v>
      </c>
      <c r="C101" s="69">
        <v>43</v>
      </c>
      <c r="D101" s="69">
        <v>54</v>
      </c>
      <c r="E101" s="69">
        <v>69</v>
      </c>
      <c r="F101" s="73">
        <v>80</v>
      </c>
      <c r="G101" s="69">
        <v>35.912853060000003</v>
      </c>
      <c r="H101" s="69">
        <v>43.12579813</v>
      </c>
      <c r="I101" s="69">
        <v>52.660792860000001</v>
      </c>
      <c r="J101" s="69">
        <v>59.873737929999997</v>
      </c>
      <c r="K101" s="78">
        <v>32.240452230000002</v>
      </c>
      <c r="L101" s="69">
        <v>41.292296569999998</v>
      </c>
      <c r="M101" s="69">
        <v>53.25818392</v>
      </c>
      <c r="N101" s="73">
        <v>62.310028260000003</v>
      </c>
      <c r="O101" s="69">
        <v>37.195929640000003</v>
      </c>
      <c r="P101" s="69">
        <v>45.506715589999999</v>
      </c>
      <c r="Q101" s="69">
        <v>56.49297704</v>
      </c>
      <c r="R101" s="69">
        <v>64.803763000000004</v>
      </c>
      <c r="S101" s="69">
        <v>39.270765689999998</v>
      </c>
      <c r="T101" s="69">
        <v>49.77943458</v>
      </c>
      <c r="U101" s="69">
        <v>63.67113921</v>
      </c>
      <c r="V101" s="69">
        <v>74.179808089999995</v>
      </c>
      <c r="W101" s="69">
        <v>38.77248033</v>
      </c>
      <c r="X101" s="69">
        <v>46.962566250000002</v>
      </c>
      <c r="Y101" s="69">
        <v>57.789270940000002</v>
      </c>
      <c r="Z101" s="69">
        <v>65.979356859999996</v>
      </c>
    </row>
    <row r="102" spans="1:26">
      <c r="A102" s="72">
        <v>99</v>
      </c>
      <c r="C102" s="69">
        <v>43</v>
      </c>
      <c r="D102" s="69">
        <v>54</v>
      </c>
      <c r="E102" s="69">
        <v>68</v>
      </c>
      <c r="F102" s="73">
        <v>79</v>
      </c>
      <c r="G102" s="69">
        <v>35.677841800000003</v>
      </c>
      <c r="H102" s="69">
        <v>42.817791290000002</v>
      </c>
      <c r="I102" s="69">
        <v>52.25629112</v>
      </c>
      <c r="J102" s="69">
        <v>59.39624061</v>
      </c>
      <c r="K102" s="78">
        <v>32.054643689999999</v>
      </c>
      <c r="L102" s="69">
        <v>41.014077139999998</v>
      </c>
      <c r="M102" s="69">
        <v>52.857803930000003</v>
      </c>
      <c r="N102" s="73">
        <v>61.817237380000002</v>
      </c>
      <c r="O102" s="69">
        <v>36.935867270000003</v>
      </c>
      <c r="P102" s="69">
        <v>45.179085880000002</v>
      </c>
      <c r="Q102" s="69">
        <v>56.076028149999999</v>
      </c>
      <c r="R102" s="69">
        <v>64.319246759999999</v>
      </c>
      <c r="S102" s="69">
        <v>38.984721659999998</v>
      </c>
      <c r="T102" s="69">
        <v>49.409240660000002</v>
      </c>
      <c r="U102" s="69">
        <v>63.189705189999998</v>
      </c>
      <c r="V102" s="69">
        <v>73.614224190000002</v>
      </c>
      <c r="W102" s="69">
        <v>38.483974869999997</v>
      </c>
      <c r="X102" s="69">
        <v>46.60981211</v>
      </c>
      <c r="Y102" s="69">
        <v>57.351584649999999</v>
      </c>
      <c r="Z102" s="69">
        <v>65.477421890000002</v>
      </c>
    </row>
    <row r="103" spans="1:26">
      <c r="A103" s="72">
        <v>100</v>
      </c>
      <c r="C103" s="69">
        <v>43</v>
      </c>
      <c r="D103" s="69">
        <v>54</v>
      </c>
      <c r="E103" s="69">
        <v>68</v>
      </c>
      <c r="F103" s="73">
        <v>79</v>
      </c>
      <c r="G103" s="69">
        <v>35.446707320000002</v>
      </c>
      <c r="H103" s="69">
        <v>42.515122509999998</v>
      </c>
      <c r="I103" s="69">
        <v>51.85905915</v>
      </c>
      <c r="J103" s="69">
        <v>58.927474349999997</v>
      </c>
      <c r="K103" s="78">
        <v>31.871757379999998</v>
      </c>
      <c r="L103" s="69">
        <v>40.740637990000003</v>
      </c>
      <c r="M103" s="69">
        <v>52.464660440000003</v>
      </c>
      <c r="N103" s="73">
        <v>61.333541050000001</v>
      </c>
      <c r="O103" s="69">
        <v>36.68020963</v>
      </c>
      <c r="P103" s="69">
        <v>44.857081059999999</v>
      </c>
      <c r="Q103" s="69">
        <v>55.666317139999997</v>
      </c>
      <c r="R103" s="69">
        <v>63.843188570000002</v>
      </c>
      <c r="S103" s="69">
        <v>38.703604749999997</v>
      </c>
      <c r="T103" s="69">
        <v>49.045483339999997</v>
      </c>
      <c r="U103" s="69">
        <v>62.716703199999998</v>
      </c>
      <c r="V103" s="69">
        <v>73.058581790000005</v>
      </c>
      <c r="W103" s="69">
        <v>38.200483570000003</v>
      </c>
      <c r="X103" s="69">
        <v>46.263214300000001</v>
      </c>
      <c r="Y103" s="69">
        <v>56.921564580000002</v>
      </c>
      <c r="Z103" s="69">
        <v>64.984295309999993</v>
      </c>
    </row>
    <row r="104" spans="1:26">
      <c r="A104" s="72">
        <v>101</v>
      </c>
      <c r="C104" s="69">
        <v>42</v>
      </c>
      <c r="D104" s="69">
        <v>53</v>
      </c>
      <c r="E104" s="69">
        <v>67</v>
      </c>
      <c r="F104" s="73">
        <v>78</v>
      </c>
      <c r="G104" s="69">
        <v>35.219347849999998</v>
      </c>
      <c r="H104" s="69">
        <v>42.217646610000003</v>
      </c>
      <c r="I104" s="69">
        <v>51.468894349999999</v>
      </c>
      <c r="J104" s="69">
        <v>58.467193100000003</v>
      </c>
      <c r="K104" s="78">
        <v>31.691718819999998</v>
      </c>
      <c r="L104" s="69">
        <v>40.471849259999999</v>
      </c>
      <c r="M104" s="69">
        <v>52.078550360000001</v>
      </c>
      <c r="N104" s="73">
        <v>60.858680800000002</v>
      </c>
      <c r="O104" s="69">
        <v>36.428839189999998</v>
      </c>
      <c r="P104" s="69">
        <v>44.5405497</v>
      </c>
      <c r="Q104" s="69">
        <v>55.263647730000002</v>
      </c>
      <c r="R104" s="69">
        <v>63.375358249999998</v>
      </c>
      <c r="S104" s="69">
        <v>38.427282079999998</v>
      </c>
      <c r="T104" s="69">
        <v>48.687987970000002</v>
      </c>
      <c r="U104" s="69">
        <v>62.251903370000001</v>
      </c>
      <c r="V104" s="69">
        <v>72.512609260000005</v>
      </c>
      <c r="W104" s="69">
        <v>37.921870439999999</v>
      </c>
      <c r="X104" s="69">
        <v>45.922605419999996</v>
      </c>
      <c r="Y104" s="69">
        <v>56.49900177</v>
      </c>
      <c r="Z104" s="69">
        <v>64.499736749999997</v>
      </c>
    </row>
    <row r="105" spans="1:26">
      <c r="A105" s="72">
        <v>102</v>
      </c>
      <c r="C105" s="69">
        <v>42</v>
      </c>
      <c r="D105" s="69">
        <v>53</v>
      </c>
      <c r="E105" s="69">
        <v>67</v>
      </c>
      <c r="F105" s="73">
        <v>78</v>
      </c>
      <c r="G105" s="69">
        <v>34.995665279999997</v>
      </c>
      <c r="H105" s="69">
        <v>41.925223719999998</v>
      </c>
      <c r="I105" s="69">
        <v>51.085601699999998</v>
      </c>
      <c r="J105" s="69">
        <v>58.015160139999999</v>
      </c>
      <c r="K105" s="78">
        <v>31.514456110000001</v>
      </c>
      <c r="L105" s="69">
        <v>40.20758584</v>
      </c>
      <c r="M105" s="69">
        <v>51.699278270000001</v>
      </c>
      <c r="N105" s="73">
        <v>60.392408000000003</v>
      </c>
      <c r="O105" s="69">
        <v>36.181642650000001</v>
      </c>
      <c r="P105" s="69">
        <v>44.229345870000003</v>
      </c>
      <c r="Q105" s="69">
        <v>54.867830849999997</v>
      </c>
      <c r="R105" s="69">
        <v>62.915534059999999</v>
      </c>
      <c r="S105" s="69">
        <v>38.155625620000002</v>
      </c>
      <c r="T105" s="69">
        <v>48.336586310000001</v>
      </c>
      <c r="U105" s="69">
        <v>61.795084279999998</v>
      </c>
      <c r="V105" s="69">
        <v>71.976044979999998</v>
      </c>
      <c r="W105" s="69">
        <v>37.648004479999997</v>
      </c>
      <c r="X105" s="69">
        <v>45.5878242</v>
      </c>
      <c r="Y105" s="69">
        <v>56.083694950000002</v>
      </c>
      <c r="Z105" s="69">
        <v>64.023514660000004</v>
      </c>
    </row>
    <row r="106" spans="1:26">
      <c r="A106" s="72">
        <v>103</v>
      </c>
      <c r="C106" s="69">
        <v>42</v>
      </c>
      <c r="D106" s="69">
        <v>52</v>
      </c>
      <c r="E106" s="69">
        <v>66</v>
      </c>
      <c r="F106" s="73">
        <v>77</v>
      </c>
      <c r="G106" s="69">
        <v>34.775564959999997</v>
      </c>
      <c r="H106" s="69">
        <v>41.637719089999997</v>
      </c>
      <c r="I106" s="69">
        <v>50.70899343</v>
      </c>
      <c r="J106" s="69">
        <v>57.571147570000001</v>
      </c>
      <c r="K106" s="78">
        <v>31.339899859999999</v>
      </c>
      <c r="L106" s="69">
        <v>39.947727219999997</v>
      </c>
      <c r="M106" s="69">
        <v>51.326656040000003</v>
      </c>
      <c r="N106" s="73">
        <v>59.934483389999997</v>
      </c>
      <c r="O106" s="69">
        <v>35.938510800000003</v>
      </c>
      <c r="P106" s="69">
        <v>43.923328900000001</v>
      </c>
      <c r="Q106" s="69">
        <v>54.478684280000003</v>
      </c>
      <c r="R106" s="69">
        <v>62.463502380000001</v>
      </c>
      <c r="S106" s="69">
        <v>37.888511989999998</v>
      </c>
      <c r="T106" s="69">
        <v>47.991116239999997</v>
      </c>
      <c r="U106" s="69">
        <v>61.346032630000003</v>
      </c>
      <c r="V106" s="69">
        <v>71.448636879999995</v>
      </c>
      <c r="W106" s="69">
        <v>37.378759440000003</v>
      </c>
      <c r="X106" s="69">
        <v>45.258715240000001</v>
      </c>
      <c r="Y106" s="69">
        <v>55.675450189999999</v>
      </c>
      <c r="Z106" s="69">
        <v>63.555405980000003</v>
      </c>
    </row>
    <row r="107" spans="1:26">
      <c r="A107" s="72">
        <v>104</v>
      </c>
      <c r="C107" s="69">
        <v>42</v>
      </c>
      <c r="D107" s="69">
        <v>52</v>
      </c>
      <c r="E107" s="69">
        <v>66</v>
      </c>
      <c r="F107" s="73">
        <v>76</v>
      </c>
      <c r="G107" s="69">
        <v>34.558955560000001</v>
      </c>
      <c r="H107" s="69">
        <v>41.355002849999998</v>
      </c>
      <c r="I107" s="69">
        <v>50.338888689999997</v>
      </c>
      <c r="J107" s="69">
        <v>57.134935980000002</v>
      </c>
      <c r="K107" s="78">
        <v>31.16798309</v>
      </c>
      <c r="L107" s="69">
        <v>39.692157229999999</v>
      </c>
      <c r="M107" s="69">
        <v>50.960502509999998</v>
      </c>
      <c r="N107" s="73">
        <v>59.484676649999997</v>
      </c>
      <c r="O107" s="69">
        <v>35.699338310000002</v>
      </c>
      <c r="P107" s="69">
        <v>43.622363190000002</v>
      </c>
      <c r="Q107" s="69">
        <v>54.096032370000003</v>
      </c>
      <c r="R107" s="69">
        <v>62.019057240000002</v>
      </c>
      <c r="S107" s="69">
        <v>37.625822190000001</v>
      </c>
      <c r="T107" s="69">
        <v>47.65142144</v>
      </c>
      <c r="U107" s="69">
        <v>60.904542759999998</v>
      </c>
      <c r="V107" s="69">
        <v>70.930142009999997</v>
      </c>
      <c r="W107" s="69">
        <v>37.114013620000001</v>
      </c>
      <c r="X107" s="69">
        <v>44.935128740000003</v>
      </c>
      <c r="Y107" s="69">
        <v>55.274080560000002</v>
      </c>
      <c r="Z107" s="69">
        <v>63.095195680000003</v>
      </c>
    </row>
    <row r="108" spans="1:26">
      <c r="A108" s="72">
        <v>105</v>
      </c>
      <c r="C108" s="69">
        <v>41</v>
      </c>
      <c r="D108" s="69">
        <v>52</v>
      </c>
      <c r="E108" s="69">
        <v>65</v>
      </c>
      <c r="F108" s="73">
        <v>76</v>
      </c>
      <c r="G108" s="69">
        <v>34.34574894</v>
      </c>
      <c r="H108" s="69">
        <v>41.076949740000003</v>
      </c>
      <c r="I108" s="69">
        <v>49.975113200000003</v>
      </c>
      <c r="J108" s="69">
        <v>56.706313999999999</v>
      </c>
      <c r="K108" s="78">
        <v>30.99864105</v>
      </c>
      <c r="L108" s="69">
        <v>39.440763850000003</v>
      </c>
      <c r="M108" s="69">
        <v>50.600643169999998</v>
      </c>
      <c r="N108" s="73">
        <v>59.042765969999998</v>
      </c>
      <c r="O108" s="69">
        <v>35.464023560000001</v>
      </c>
      <c r="P108" s="69">
        <v>43.326317920000001</v>
      </c>
      <c r="Q108" s="69">
        <v>53.71970572</v>
      </c>
      <c r="R108" s="69">
        <v>61.58200008</v>
      </c>
      <c r="S108" s="69">
        <v>37.367441479999997</v>
      </c>
      <c r="T108" s="69">
        <v>47.317351199999997</v>
      </c>
      <c r="U108" s="69">
        <v>60.470416409999999</v>
      </c>
      <c r="V108" s="69">
        <v>70.420326130000007</v>
      </c>
      <c r="W108" s="69">
        <v>36.85364963</v>
      </c>
      <c r="X108" s="69">
        <v>44.616920260000001</v>
      </c>
      <c r="Y108" s="69">
        <v>54.879405810000002</v>
      </c>
      <c r="Z108" s="69">
        <v>62.642676440000002</v>
      </c>
    </row>
    <row r="109" spans="1:26">
      <c r="A109" s="72">
        <v>106</v>
      </c>
      <c r="C109" s="69">
        <v>41</v>
      </c>
      <c r="D109" s="69">
        <v>51</v>
      </c>
      <c r="E109" s="69">
        <v>65</v>
      </c>
      <c r="F109" s="73">
        <v>75</v>
      </c>
      <c r="G109" s="69">
        <v>34.135860000000001</v>
      </c>
      <c r="H109" s="69">
        <v>40.803438989999997</v>
      </c>
      <c r="I109" s="69">
        <v>49.61749897</v>
      </c>
      <c r="J109" s="69">
        <v>56.285077960000002</v>
      </c>
      <c r="K109" s="78">
        <v>30.831811219999999</v>
      </c>
      <c r="L109" s="69">
        <v>39.193439069999997</v>
      </c>
      <c r="M109" s="69">
        <v>50.246909850000002</v>
      </c>
      <c r="N109" s="73">
        <v>58.608537699999999</v>
      </c>
      <c r="O109" s="69">
        <v>35.232468439999998</v>
      </c>
      <c r="P109" s="69">
        <v>43.035066860000001</v>
      </c>
      <c r="Q109" s="69">
        <v>53.349540920000003</v>
      </c>
      <c r="R109" s="69">
        <v>61.152139339999998</v>
      </c>
      <c r="S109" s="69">
        <v>37.113259130000003</v>
      </c>
      <c r="T109" s="69">
        <v>46.988760110000001</v>
      </c>
      <c r="U109" s="69">
        <v>60.043462320000003</v>
      </c>
      <c r="V109" s="69">
        <v>69.918963300000001</v>
      </c>
      <c r="W109" s="69">
        <v>36.597554260000003</v>
      </c>
      <c r="X109" s="69">
        <v>44.303950450000002</v>
      </c>
      <c r="Y109" s="69">
        <v>54.491252080000002</v>
      </c>
      <c r="Z109" s="69">
        <v>62.197648270000002</v>
      </c>
    </row>
    <row r="110" spans="1:26">
      <c r="A110" s="72">
        <v>107</v>
      </c>
      <c r="C110" s="69">
        <v>41</v>
      </c>
      <c r="D110" s="69">
        <v>51</v>
      </c>
      <c r="E110" s="69">
        <v>64</v>
      </c>
      <c r="F110" s="73">
        <v>75</v>
      </c>
      <c r="G110" s="69">
        <v>33.929206540000003</v>
      </c>
      <c r="H110" s="69">
        <v>40.534354020000002</v>
      </c>
      <c r="I110" s="69">
        <v>49.265884040000003</v>
      </c>
      <c r="J110" s="69">
        <v>55.871031520000003</v>
      </c>
      <c r="K110" s="78">
        <v>30.667433150000001</v>
      </c>
      <c r="L110" s="69">
        <v>38.950078640000001</v>
      </c>
      <c r="M110" s="69">
        <v>49.899140420000002</v>
      </c>
      <c r="N110" s="73">
        <v>58.181785900000001</v>
      </c>
      <c r="O110" s="69">
        <v>35.004578279999997</v>
      </c>
      <c r="P110" s="69">
        <v>42.748488190000003</v>
      </c>
      <c r="Q110" s="69">
        <v>52.985380259999999</v>
      </c>
      <c r="R110" s="69">
        <v>60.729290169999999</v>
      </c>
      <c r="S110" s="69">
        <v>36.863168279999996</v>
      </c>
      <c r="T110" s="69">
        <v>46.665507859999998</v>
      </c>
      <c r="U110" s="69">
        <v>59.623495949999999</v>
      </c>
      <c r="V110" s="69">
        <v>69.425835530000001</v>
      </c>
      <c r="W110" s="69">
        <v>36.345618219999999</v>
      </c>
      <c r="X110" s="69">
        <v>43.996084840000002</v>
      </c>
      <c r="Y110" s="69">
        <v>54.1094516</v>
      </c>
      <c r="Z110" s="69">
        <v>61.759918220000003</v>
      </c>
    </row>
    <row r="111" spans="1:26">
      <c r="A111" s="72">
        <v>108</v>
      </c>
      <c r="C111" s="69">
        <v>40</v>
      </c>
      <c r="D111" s="69">
        <v>51</v>
      </c>
      <c r="E111" s="69">
        <v>64</v>
      </c>
      <c r="F111" s="73">
        <v>74</v>
      </c>
      <c r="G111" s="69">
        <v>33.725709129999998</v>
      </c>
      <c r="H111" s="69">
        <v>40.269582329999999</v>
      </c>
      <c r="I111" s="69">
        <v>48.920112160000002</v>
      </c>
      <c r="J111" s="69">
        <v>55.463985360000002</v>
      </c>
      <c r="K111" s="78">
        <v>30.505448399999999</v>
      </c>
      <c r="L111" s="69">
        <v>38.710581959999999</v>
      </c>
      <c r="M111" s="69">
        <v>49.557178520000001</v>
      </c>
      <c r="N111" s="73">
        <v>57.762312080000001</v>
      </c>
      <c r="O111" s="69">
        <v>34.780261619999997</v>
      </c>
      <c r="P111" s="69">
        <v>42.466464270000003</v>
      </c>
      <c r="Q111" s="69">
        <v>52.6270715</v>
      </c>
      <c r="R111" s="69">
        <v>60.313274139999997</v>
      </c>
      <c r="S111" s="69">
        <v>36.61706573</v>
      </c>
      <c r="T111" s="69">
        <v>46.347458969999998</v>
      </c>
      <c r="U111" s="69">
        <v>59.210339179999998</v>
      </c>
      <c r="V111" s="69">
        <v>68.940732420000003</v>
      </c>
      <c r="W111" s="69">
        <v>36.097736050000002</v>
      </c>
      <c r="X111" s="69">
        <v>43.693193649999998</v>
      </c>
      <c r="Y111" s="69">
        <v>53.733842439999997</v>
      </c>
      <c r="Z111" s="69">
        <v>61.32930004</v>
      </c>
    </row>
    <row r="112" spans="1:26">
      <c r="A112" s="72">
        <v>109</v>
      </c>
      <c r="C112" s="69">
        <v>40</v>
      </c>
      <c r="D112" s="69">
        <v>50</v>
      </c>
      <c r="E112" s="69">
        <v>64</v>
      </c>
      <c r="F112" s="73">
        <v>74</v>
      </c>
      <c r="G112" s="69">
        <v>33.525291019999997</v>
      </c>
      <c r="H112" s="69">
        <v>40.009015300000002</v>
      </c>
      <c r="I112" s="69">
        <v>48.58003257</v>
      </c>
      <c r="J112" s="69">
        <v>55.063756840000003</v>
      </c>
      <c r="K112" s="78">
        <v>30.345800440000001</v>
      </c>
      <c r="L112" s="69">
        <v>38.474851870000002</v>
      </c>
      <c r="M112" s="69">
        <v>49.220873339999997</v>
      </c>
      <c r="N112" s="73">
        <v>57.349924780000002</v>
      </c>
      <c r="O112" s="69">
        <v>34.559430110000001</v>
      </c>
      <c r="P112" s="69">
        <v>42.18888149</v>
      </c>
      <c r="Q112" s="69">
        <v>52.274467610000002</v>
      </c>
      <c r="R112" s="69">
        <v>59.903918990000001</v>
      </c>
      <c r="S112" s="69">
        <v>36.374851839999998</v>
      </c>
      <c r="T112" s="69">
        <v>46.034482650000001</v>
      </c>
      <c r="U112" s="69">
        <v>58.803820010000003</v>
      </c>
      <c r="V112" s="69">
        <v>68.463450820000006</v>
      </c>
      <c r="W112" s="69">
        <v>35.853805850000001</v>
      </c>
      <c r="X112" s="69">
        <v>43.39515153</v>
      </c>
      <c r="Y112" s="69">
        <v>53.364268250000002</v>
      </c>
      <c r="Z112" s="69">
        <v>60.90561392</v>
      </c>
    </row>
    <row r="113" spans="1:26">
      <c r="A113" s="72">
        <v>110</v>
      </c>
      <c r="C113" s="69">
        <v>40</v>
      </c>
      <c r="D113" s="69">
        <v>50</v>
      </c>
      <c r="E113" s="69">
        <v>63</v>
      </c>
      <c r="F113" s="73">
        <v>73</v>
      </c>
      <c r="G113" s="69">
        <v>33.327877999999998</v>
      </c>
      <c r="H113" s="69">
        <v>39.752547989999997</v>
      </c>
      <c r="I113" s="69">
        <v>48.24549975</v>
      </c>
      <c r="J113" s="69">
        <v>54.670169739999999</v>
      </c>
      <c r="K113" s="78">
        <v>30.188434579999999</v>
      </c>
      <c r="L113" s="69">
        <v>38.242794570000001</v>
      </c>
      <c r="M113" s="69">
        <v>48.890079329999999</v>
      </c>
      <c r="N113" s="73">
        <v>56.944439320000001</v>
      </c>
      <c r="O113" s="69">
        <v>34.341998369999999</v>
      </c>
      <c r="P113" s="69">
        <v>41.915630069999999</v>
      </c>
      <c r="Q113" s="69">
        <v>51.927426590000003</v>
      </c>
      <c r="R113" s="69">
        <v>59.501058290000003</v>
      </c>
      <c r="S113" s="69">
        <v>36.136430320000002</v>
      </c>
      <c r="T113" s="69">
        <v>45.726452530000003</v>
      </c>
      <c r="U113" s="69">
        <v>58.403772320000002</v>
      </c>
      <c r="V113" s="69">
        <v>67.993794530000002</v>
      </c>
      <c r="W113" s="69">
        <v>35.613729239999998</v>
      </c>
      <c r="X113" s="69">
        <v>43.101837420000003</v>
      </c>
      <c r="Y113" s="69">
        <v>53.000577999999997</v>
      </c>
      <c r="Z113" s="69">
        <v>60.488686180000002</v>
      </c>
    </row>
    <row r="114" spans="1:26">
      <c r="A114" s="72">
        <v>111</v>
      </c>
      <c r="C114" s="69">
        <v>40</v>
      </c>
      <c r="D114" s="69">
        <v>50</v>
      </c>
      <c r="E114" s="69">
        <v>63</v>
      </c>
      <c r="F114" s="73">
        <v>73</v>
      </c>
      <c r="G114" s="69">
        <v>33.133398300000003</v>
      </c>
      <c r="H114" s="69">
        <v>39.500079049999997</v>
      </c>
      <c r="I114" s="69">
        <v>47.916373200000002</v>
      </c>
      <c r="J114" s="69">
        <v>54.283053959999997</v>
      </c>
      <c r="K114" s="78">
        <v>30.03329789</v>
      </c>
      <c r="L114" s="69">
        <v>38.014319399999998</v>
      </c>
      <c r="M114" s="69">
        <v>48.564655960000003</v>
      </c>
      <c r="N114" s="73">
        <v>56.545677470000001</v>
      </c>
      <c r="O114" s="69">
        <v>34.127883850000003</v>
      </c>
      <c r="P114" s="69">
        <v>41.646603910000003</v>
      </c>
      <c r="Q114" s="69">
        <v>51.585811190000001</v>
      </c>
      <c r="R114" s="69">
        <v>59.104531250000001</v>
      </c>
      <c r="S114" s="69">
        <v>35.901708130000003</v>
      </c>
      <c r="T114" s="69">
        <v>45.423246519999999</v>
      </c>
      <c r="U114" s="69">
        <v>58.010035619999996</v>
      </c>
      <c r="V114" s="69">
        <v>67.53157401</v>
      </c>
      <c r="W114" s="69">
        <v>35.377411129999999</v>
      </c>
      <c r="X114" s="69">
        <v>42.813134349999999</v>
      </c>
      <c r="Y114" s="69">
        <v>52.642625789999997</v>
      </c>
      <c r="Z114" s="69">
        <v>60.078349009999997</v>
      </c>
    </row>
    <row r="115" spans="1:26">
      <c r="A115" s="72">
        <v>112</v>
      </c>
      <c r="C115" s="69">
        <v>39</v>
      </c>
      <c r="D115" s="69">
        <v>49</v>
      </c>
      <c r="E115" s="69">
        <v>62</v>
      </c>
      <c r="F115" s="73">
        <v>72</v>
      </c>
      <c r="G115" s="69">
        <v>32.941782480000001</v>
      </c>
      <c r="H115" s="69">
        <v>39.251510490000001</v>
      </c>
      <c r="I115" s="69">
        <v>47.592517209999997</v>
      </c>
      <c r="J115" s="69">
        <v>53.902245219999998</v>
      </c>
      <c r="K115" s="78">
        <v>29.88033914</v>
      </c>
      <c r="L115" s="69">
        <v>37.78933876</v>
      </c>
      <c r="M115" s="69">
        <v>48.244467569999998</v>
      </c>
      <c r="N115" s="73">
        <v>56.153467190000001</v>
      </c>
      <c r="O115" s="69">
        <v>33.917006729999997</v>
      </c>
      <c r="P115" s="69">
        <v>41.381700440000003</v>
      </c>
      <c r="Q115" s="69">
        <v>51.24948878</v>
      </c>
      <c r="R115" s="69">
        <v>58.714182489999999</v>
      </c>
      <c r="S115" s="69">
        <v>35.670595300000002</v>
      </c>
      <c r="T115" s="69">
        <v>45.12474658</v>
      </c>
      <c r="U115" s="69">
        <v>57.622454779999998</v>
      </c>
      <c r="V115" s="69">
        <v>67.076606069999997</v>
      </c>
      <c r="W115" s="69">
        <v>35.14475959</v>
      </c>
      <c r="X115" s="69">
        <v>42.528929249999997</v>
      </c>
      <c r="Y115" s="69">
        <v>52.290270589999999</v>
      </c>
      <c r="Z115" s="69">
        <v>59.674440250000004</v>
      </c>
    </row>
    <row r="116" spans="1:26">
      <c r="A116" s="72">
        <v>113</v>
      </c>
      <c r="C116" s="69">
        <v>39</v>
      </c>
      <c r="D116" s="69">
        <v>49</v>
      </c>
      <c r="E116" s="69">
        <v>62</v>
      </c>
      <c r="F116" s="73">
        <v>72</v>
      </c>
      <c r="G116" s="69">
        <v>32.752963370000003</v>
      </c>
      <c r="H116" s="69">
        <v>39.006747599999997</v>
      </c>
      <c r="I116" s="69">
        <v>47.27380067</v>
      </c>
      <c r="J116" s="69">
        <v>53.52758489</v>
      </c>
      <c r="K116" s="78">
        <v>29.729508719999998</v>
      </c>
      <c r="L116" s="69">
        <v>37.567767959999998</v>
      </c>
      <c r="M116" s="69">
        <v>47.929383080000001</v>
      </c>
      <c r="N116" s="73">
        <v>55.767642330000001</v>
      </c>
      <c r="O116" s="69">
        <v>33.709289830000003</v>
      </c>
      <c r="P116" s="69">
        <v>41.120820479999999</v>
      </c>
      <c r="Q116" s="69">
        <v>50.918331090000002</v>
      </c>
      <c r="R116" s="69">
        <v>58.329861739999998</v>
      </c>
      <c r="S116" s="69">
        <v>35.44300484</v>
      </c>
      <c r="T116" s="69">
        <v>44.830838620000002</v>
      </c>
      <c r="U116" s="69">
        <v>57.240879839999998</v>
      </c>
      <c r="V116" s="69">
        <v>66.628713619999999</v>
      </c>
      <c r="W116" s="69">
        <v>34.915685770000003</v>
      </c>
      <c r="X116" s="69">
        <v>42.24911281</v>
      </c>
      <c r="Y116" s="69">
        <v>51.943376059999999</v>
      </c>
      <c r="Z116" s="69">
        <v>59.276803110000003</v>
      </c>
    </row>
    <row r="117" spans="1:26">
      <c r="A117" s="72">
        <v>114</v>
      </c>
      <c r="C117" s="69">
        <v>39</v>
      </c>
      <c r="D117" s="69">
        <v>49</v>
      </c>
      <c r="E117" s="69">
        <v>61</v>
      </c>
      <c r="F117" s="73">
        <v>71</v>
      </c>
      <c r="G117" s="69">
        <v>32.566875940000003</v>
      </c>
      <c r="H117" s="69">
        <v>38.765698780000001</v>
      </c>
      <c r="I117" s="69">
        <v>46.960096839999999</v>
      </c>
      <c r="J117" s="69">
        <v>53.158919670000003</v>
      </c>
      <c r="K117" s="78">
        <v>29.580758549999999</v>
      </c>
      <c r="L117" s="69">
        <v>37.349525100000001</v>
      </c>
      <c r="M117" s="69">
        <v>47.619275860000002</v>
      </c>
      <c r="N117" s="73">
        <v>55.388042409999997</v>
      </c>
      <c r="O117" s="69">
        <v>33.504658419999998</v>
      </c>
      <c r="P117" s="69">
        <v>40.863868070000002</v>
      </c>
      <c r="Q117" s="69">
        <v>50.592214060000003</v>
      </c>
      <c r="R117" s="69">
        <v>57.95142371</v>
      </c>
      <c r="S117" s="69">
        <v>35.218852609999999</v>
      </c>
      <c r="T117" s="69">
        <v>44.541412260000001</v>
      </c>
      <c r="U117" s="69">
        <v>56.865165769999997</v>
      </c>
      <c r="V117" s="69">
        <v>66.187725420000007</v>
      </c>
      <c r="W117" s="69">
        <v>34.690103700000002</v>
      </c>
      <c r="X117" s="69">
        <v>41.973579309999998</v>
      </c>
      <c r="Y117" s="69">
        <v>51.601810360000002</v>
      </c>
      <c r="Z117" s="69">
        <v>58.885285969999998</v>
      </c>
    </row>
    <row r="118" spans="1:26">
      <c r="A118" s="72">
        <v>115</v>
      </c>
      <c r="C118" s="69">
        <v>39</v>
      </c>
      <c r="D118" s="69">
        <v>48</v>
      </c>
      <c r="E118" s="69">
        <v>61</v>
      </c>
      <c r="F118" s="73">
        <v>71</v>
      </c>
      <c r="G118" s="69">
        <v>32.383457219999997</v>
      </c>
      <c r="H118" s="69">
        <v>38.528275409999999</v>
      </c>
      <c r="I118" s="69">
        <v>46.651283220000003</v>
      </c>
      <c r="J118" s="69">
        <v>52.796101419999999</v>
      </c>
      <c r="K118" s="78">
        <v>29.434042080000001</v>
      </c>
      <c r="L118" s="69">
        <v>37.134530939999998</v>
      </c>
      <c r="M118" s="69">
        <v>47.314023509999998</v>
      </c>
      <c r="N118" s="73">
        <v>55.014512369999998</v>
      </c>
      <c r="O118" s="69">
        <v>33.30304022</v>
      </c>
      <c r="P118" s="69">
        <v>40.610750359999997</v>
      </c>
      <c r="Q118" s="69">
        <v>50.271017700000002</v>
      </c>
      <c r="R118" s="69">
        <v>57.578727839999999</v>
      </c>
      <c r="S118" s="69">
        <v>34.998057180000004</v>
      </c>
      <c r="T118" s="69">
        <v>44.256360710000003</v>
      </c>
      <c r="U118" s="69">
        <v>56.495172269999998</v>
      </c>
      <c r="V118" s="69">
        <v>65.753475809999998</v>
      </c>
      <c r="W118" s="69">
        <v>34.46793023</v>
      </c>
      <c r="X118" s="69">
        <v>41.70222648</v>
      </c>
      <c r="Y118" s="69">
        <v>51.265445939999999</v>
      </c>
      <c r="Z118" s="69">
        <v>58.499742189999999</v>
      </c>
    </row>
    <row r="119" spans="1:26">
      <c r="A119" s="72">
        <v>116</v>
      </c>
      <c r="C119" s="69">
        <v>38</v>
      </c>
      <c r="D119" s="69">
        <v>48</v>
      </c>
      <c r="E119" s="69">
        <v>61</v>
      </c>
      <c r="F119" s="73">
        <v>70</v>
      </c>
      <c r="G119" s="69">
        <v>32.202646219999998</v>
      </c>
      <c r="H119" s="69">
        <v>38.294391760000003</v>
      </c>
      <c r="I119" s="69">
        <v>46.347241349999997</v>
      </c>
      <c r="J119" s="69">
        <v>52.438986890000002</v>
      </c>
      <c r="K119" s="78">
        <v>29.289314180000002</v>
      </c>
      <c r="L119" s="69">
        <v>36.922708829999998</v>
      </c>
      <c r="M119" s="69">
        <v>47.013507670000003</v>
      </c>
      <c r="N119" s="73">
        <v>54.646902310000002</v>
      </c>
      <c r="O119" s="69">
        <v>33.104365219999998</v>
      </c>
      <c r="P119" s="69">
        <v>40.361377470000001</v>
      </c>
      <c r="Q119" s="69">
        <v>49.954625839999999</v>
      </c>
      <c r="R119" s="69">
        <v>57.211638090000001</v>
      </c>
      <c r="S119" s="69">
        <v>34.780539740000002</v>
      </c>
      <c r="T119" s="69">
        <v>43.975580659999999</v>
      </c>
      <c r="U119" s="69">
        <v>56.130763600000002</v>
      </c>
      <c r="V119" s="69">
        <v>65.325804529999999</v>
      </c>
      <c r="W119" s="69">
        <v>34.249084879999998</v>
      </c>
      <c r="X119" s="69">
        <v>41.434955340000002</v>
      </c>
      <c r="Y119" s="69">
        <v>50.934159379999997</v>
      </c>
      <c r="Z119" s="69">
        <v>58.120029840000001</v>
      </c>
    </row>
    <row r="120" spans="1:26">
      <c r="A120" s="72">
        <v>117</v>
      </c>
      <c r="C120" s="69">
        <v>38</v>
      </c>
      <c r="D120" s="69">
        <v>48</v>
      </c>
      <c r="E120" s="69">
        <v>60</v>
      </c>
      <c r="F120" s="73">
        <v>70</v>
      </c>
      <c r="G120" s="69">
        <v>32.024383870000001</v>
      </c>
      <c r="H120" s="69">
        <v>38.063964839999997</v>
      </c>
      <c r="I120" s="69">
        <v>46.047856609999997</v>
      </c>
      <c r="J120" s="69">
        <v>52.08743758</v>
      </c>
      <c r="K120" s="78">
        <v>29.146531100000001</v>
      </c>
      <c r="L120" s="69">
        <v>36.713984549999999</v>
      </c>
      <c r="M120" s="69">
        <v>46.717613880000002</v>
      </c>
      <c r="N120" s="73">
        <v>54.285067339999998</v>
      </c>
      <c r="O120" s="69">
        <v>32.90856565</v>
      </c>
      <c r="P120" s="69">
        <v>40.115662389999997</v>
      </c>
      <c r="Q120" s="69">
        <v>49.642926070000001</v>
      </c>
      <c r="R120" s="69">
        <v>56.85002282</v>
      </c>
      <c r="S120" s="69">
        <v>34.566223989999997</v>
      </c>
      <c r="T120" s="69">
        <v>43.698972070000003</v>
      </c>
      <c r="U120" s="69">
        <v>55.771808350000001</v>
      </c>
      <c r="V120" s="69">
        <v>64.904556439999993</v>
      </c>
      <c r="W120" s="69">
        <v>34.033489729999999</v>
      </c>
      <c r="X120" s="69">
        <v>41.171670089999999</v>
      </c>
      <c r="Y120" s="69">
        <v>50.607831240000003</v>
      </c>
      <c r="Z120" s="69">
        <v>57.746011590000002</v>
      </c>
    </row>
    <row r="121" spans="1:26">
      <c r="A121" s="72">
        <v>118</v>
      </c>
      <c r="C121" s="69">
        <v>38</v>
      </c>
      <c r="D121" s="69">
        <v>47</v>
      </c>
      <c r="E121" s="69">
        <v>60</v>
      </c>
      <c r="F121" s="73">
        <v>69</v>
      </c>
      <c r="G121" s="69">
        <v>31.84861291</v>
      </c>
      <c r="H121" s="69">
        <v>37.836914290000003</v>
      </c>
      <c r="I121" s="69">
        <v>45.75301812</v>
      </c>
      <c r="J121" s="69">
        <v>51.741319500000003</v>
      </c>
      <c r="K121" s="78">
        <v>29.005650410000001</v>
      </c>
      <c r="L121" s="69">
        <v>36.50828628</v>
      </c>
      <c r="M121" s="69">
        <v>46.426231420000001</v>
      </c>
      <c r="N121" s="73">
        <v>53.928867289999999</v>
      </c>
      <c r="O121" s="69">
        <v>32.715575819999998</v>
      </c>
      <c r="P121" s="69">
        <v>39.873520859999999</v>
      </c>
      <c r="Q121" s="69">
        <v>49.335809500000003</v>
      </c>
      <c r="R121" s="69">
        <v>56.493754539999998</v>
      </c>
      <c r="S121" s="69">
        <v>34.355036040000002</v>
      </c>
      <c r="T121" s="69">
        <v>43.426438089999998</v>
      </c>
      <c r="U121" s="69">
        <v>55.418179309999999</v>
      </c>
      <c r="V121" s="69">
        <v>64.489581360000003</v>
      </c>
      <c r="W121" s="69">
        <v>33.821069369999996</v>
      </c>
      <c r="X121" s="69">
        <v>40.912277969999998</v>
      </c>
      <c r="Y121" s="69">
        <v>50.286345840000003</v>
      </c>
      <c r="Z121" s="69">
        <v>57.377554439999997</v>
      </c>
    </row>
    <row r="122" spans="1:26">
      <c r="A122" s="72">
        <v>119</v>
      </c>
      <c r="C122" s="69">
        <v>38</v>
      </c>
      <c r="D122" s="69">
        <v>47</v>
      </c>
      <c r="E122" s="69">
        <v>59</v>
      </c>
      <c r="F122" s="73">
        <v>69</v>
      </c>
      <c r="G122" s="69">
        <v>31.675277860000001</v>
      </c>
      <c r="H122" s="69">
        <v>37.613162289999998</v>
      </c>
      <c r="I122" s="69">
        <v>45.462618550000002</v>
      </c>
      <c r="J122" s="69">
        <v>51.40050299</v>
      </c>
      <c r="K122" s="78">
        <v>28.866630969999999</v>
      </c>
      <c r="L122" s="69">
        <v>36.305544429999998</v>
      </c>
      <c r="M122" s="69">
        <v>46.13925313</v>
      </c>
      <c r="N122" s="73">
        <v>53.578166590000002</v>
      </c>
      <c r="O122" s="69">
        <v>32.525332130000002</v>
      </c>
      <c r="P122" s="69">
        <v>39.634871230000002</v>
      </c>
      <c r="Q122" s="69">
        <v>49.033170699999999</v>
      </c>
      <c r="R122" s="69">
        <v>56.142709789999998</v>
      </c>
      <c r="S122" s="69">
        <v>34.146904309999996</v>
      </c>
      <c r="T122" s="69">
        <v>43.157884889999998</v>
      </c>
      <c r="U122" s="69">
        <v>55.06975328</v>
      </c>
      <c r="V122" s="69">
        <v>64.080733870000003</v>
      </c>
      <c r="W122" s="69">
        <v>33.611750710000003</v>
      </c>
      <c r="X122" s="69">
        <v>40.656689149999998</v>
      </c>
      <c r="Y122" s="69">
        <v>49.969591190000003</v>
      </c>
      <c r="Z122" s="69">
        <v>57.014529619999998</v>
      </c>
    </row>
    <row r="123" spans="1:26">
      <c r="A123" s="74">
        <v>120</v>
      </c>
      <c r="C123" s="75">
        <v>38</v>
      </c>
      <c r="D123" s="75">
        <v>47</v>
      </c>
      <c r="E123" s="75">
        <v>59</v>
      </c>
      <c r="F123" s="76">
        <v>68</v>
      </c>
      <c r="G123" s="69">
        <v>31.5043249</v>
      </c>
      <c r="H123" s="69">
        <v>37.392633459999999</v>
      </c>
      <c r="I123" s="69">
        <v>45.176553990000002</v>
      </c>
      <c r="J123" s="69">
        <v>51.064862550000001</v>
      </c>
      <c r="K123" s="79">
        <v>28.729432849999998</v>
      </c>
      <c r="L123" s="75">
        <v>36.105691610000001</v>
      </c>
      <c r="M123" s="75">
        <v>45.856575290000002</v>
      </c>
      <c r="N123" s="76">
        <v>53.23283404</v>
      </c>
      <c r="O123" s="69">
        <v>32.337772909999998</v>
      </c>
      <c r="P123" s="69">
        <v>39.399634390000003</v>
      </c>
      <c r="Q123" s="69">
        <v>48.734907489999998</v>
      </c>
      <c r="R123" s="69">
        <v>55.796768980000003</v>
      </c>
      <c r="S123" s="69">
        <v>33.941759439999998</v>
      </c>
      <c r="T123" s="69">
        <v>42.893221599999997</v>
      </c>
      <c r="U123" s="69">
        <v>54.726410909999998</v>
      </c>
      <c r="V123" s="69">
        <v>63.677873069999997</v>
      </c>
      <c r="W123" s="69">
        <v>33.405462980000003</v>
      </c>
      <c r="X123" s="69">
        <v>40.404816590000003</v>
      </c>
      <c r="Y123" s="69">
        <v>49.657458769999998</v>
      </c>
      <c r="Z123" s="69">
        <v>56.656812369999997</v>
      </c>
    </row>
    <row r="124" spans="1:26">
      <c r="A124" s="3"/>
      <c r="B124" s="81"/>
      <c r="C124" s="4"/>
      <c r="D124" s="5"/>
      <c r="E124" s="6"/>
      <c r="F124" s="5"/>
    </row>
    <row r="125" spans="1:26">
      <c r="A125" s="3"/>
      <c r="B125" s="81"/>
      <c r="C125" s="4"/>
      <c r="D125" s="5"/>
      <c r="E125" s="6"/>
      <c r="F125" s="5"/>
    </row>
    <row r="126" spans="1:26">
      <c r="A126" s="3"/>
      <c r="B126" s="81"/>
      <c r="C126" s="4"/>
      <c r="D126" s="5"/>
      <c r="E126" s="6"/>
      <c r="F126" s="5"/>
    </row>
    <row r="127" spans="1:26">
      <c r="A127" s="3"/>
      <c r="B127" s="81"/>
      <c r="C127" s="4"/>
      <c r="D127" s="5"/>
      <c r="E127" s="6"/>
      <c r="F127" s="5"/>
    </row>
    <row r="128" spans="1:26">
      <c r="A128" s="3"/>
      <c r="B128" s="81"/>
      <c r="C128" s="4"/>
      <c r="D128" s="5"/>
      <c r="E128" s="6"/>
      <c r="F128" s="5"/>
    </row>
    <row r="129" spans="1:6">
      <c r="A129" s="3"/>
      <c r="B129" s="81"/>
      <c r="C129" s="4"/>
      <c r="D129" s="5"/>
      <c r="E129" s="6"/>
      <c r="F129" s="5"/>
    </row>
    <row r="130" spans="1:6">
      <c r="A130" s="3"/>
      <c r="B130" s="81"/>
      <c r="C130" s="4"/>
      <c r="D130" s="5"/>
      <c r="E130" s="6"/>
      <c r="F130" s="5"/>
    </row>
    <row r="131" spans="1:6">
      <c r="A131" s="3"/>
      <c r="B131" s="81"/>
      <c r="C131" s="4"/>
      <c r="D131" s="5"/>
      <c r="E131" s="6"/>
      <c r="F131" s="5"/>
    </row>
    <row r="132" spans="1:6">
      <c r="A132" s="3"/>
      <c r="B132" s="81"/>
      <c r="C132" s="4"/>
      <c r="D132" s="5"/>
      <c r="E132" s="6"/>
      <c r="F132" s="5"/>
    </row>
    <row r="133" spans="1:6">
      <c r="A133" s="3"/>
      <c r="B133" s="81"/>
      <c r="C133" s="4"/>
      <c r="D133" s="5"/>
      <c r="E133" s="6"/>
      <c r="F133" s="5"/>
    </row>
    <row r="134" spans="1:6">
      <c r="A134" s="3"/>
      <c r="B134" s="81"/>
      <c r="C134" s="4"/>
      <c r="D134" s="5"/>
      <c r="E134" s="6"/>
      <c r="F134" s="5"/>
    </row>
    <row r="135" spans="1:6">
      <c r="A135" s="3"/>
      <c r="B135" s="81"/>
      <c r="C135" s="4"/>
      <c r="D135" s="5"/>
      <c r="E135" s="6"/>
      <c r="F135" s="5"/>
    </row>
    <row r="136" spans="1:6">
      <c r="A136" s="3"/>
      <c r="B136" s="81"/>
      <c r="C136" s="4"/>
      <c r="D136" s="5"/>
      <c r="E136" s="6"/>
      <c r="F136" s="5"/>
    </row>
    <row r="137" spans="1:6">
      <c r="A137" s="3"/>
      <c r="B137" s="81"/>
      <c r="C137" s="4"/>
      <c r="D137" s="5"/>
      <c r="E137" s="6"/>
      <c r="F137" s="5"/>
    </row>
    <row r="138" spans="1:6">
      <c r="A138" s="3"/>
      <c r="B138" s="81"/>
      <c r="C138" s="4"/>
      <c r="D138" s="5"/>
      <c r="E138" s="6"/>
      <c r="F138" s="5"/>
    </row>
    <row r="139" spans="1:6">
      <c r="A139" s="3"/>
      <c r="B139" s="81"/>
      <c r="C139" s="4"/>
      <c r="D139" s="5"/>
      <c r="E139" s="6"/>
      <c r="F139" s="5"/>
    </row>
    <row r="140" spans="1:6">
      <c r="A140" s="3"/>
      <c r="B140" s="81"/>
      <c r="C140" s="4"/>
      <c r="D140" s="5"/>
      <c r="E140" s="6"/>
      <c r="F140" s="5"/>
    </row>
    <row r="141" spans="1:6">
      <c r="A141" s="3"/>
      <c r="B141" s="81"/>
      <c r="C141" s="4"/>
      <c r="D141" s="5"/>
      <c r="E141" s="6"/>
      <c r="F141" s="5"/>
    </row>
    <row r="142" spans="1:6">
      <c r="A142" s="3"/>
      <c r="B142" s="81"/>
      <c r="C142" s="4"/>
      <c r="D142" s="5"/>
      <c r="E142" s="6"/>
      <c r="F142" s="5"/>
    </row>
    <row r="143" spans="1:6">
      <c r="A143" s="3"/>
      <c r="B143" s="81"/>
      <c r="C143" s="4"/>
      <c r="D143" s="5"/>
      <c r="E143" s="6"/>
      <c r="F143" s="5"/>
    </row>
    <row r="144" spans="1:6">
      <c r="A144" s="3"/>
      <c r="B144" s="81"/>
      <c r="C144" s="4"/>
      <c r="D144" s="5"/>
      <c r="E144" s="6"/>
      <c r="F144" s="5"/>
    </row>
    <row r="145" spans="1:6">
      <c r="A145" s="3"/>
      <c r="B145" s="81"/>
      <c r="C145" s="4"/>
      <c r="D145" s="5"/>
      <c r="E145" s="6"/>
      <c r="F145" s="5"/>
    </row>
    <row r="146" spans="1:6">
      <c r="A146" s="3"/>
      <c r="B146" s="81"/>
      <c r="C146" s="4"/>
      <c r="D146" s="5"/>
      <c r="E146" s="6"/>
      <c r="F146" s="5"/>
    </row>
    <row r="147" spans="1:6">
      <c r="A147" s="3"/>
      <c r="B147" s="81"/>
      <c r="C147" s="4"/>
      <c r="D147" s="5"/>
      <c r="E147" s="6"/>
      <c r="F147" s="5"/>
    </row>
    <row r="148" spans="1:6">
      <c r="A148" s="3"/>
      <c r="B148" s="81"/>
      <c r="C148" s="4"/>
      <c r="D148" s="5"/>
      <c r="E148" s="6"/>
      <c r="F148" s="5"/>
    </row>
    <row r="149" spans="1:6">
      <c r="A149" s="3"/>
      <c r="B149" s="81"/>
      <c r="C149" s="4"/>
      <c r="D149" s="5"/>
      <c r="E149" s="6"/>
      <c r="F149" s="5"/>
    </row>
    <row r="150" spans="1:6">
      <c r="A150" s="3"/>
      <c r="B150" s="81"/>
      <c r="C150" s="4"/>
      <c r="D150" s="5"/>
      <c r="E150" s="6"/>
      <c r="F150" s="5"/>
    </row>
    <row r="151" spans="1:6">
      <c r="A151" s="3"/>
      <c r="B151" s="81"/>
      <c r="C151" s="4"/>
      <c r="D151" s="5"/>
      <c r="E151" s="6"/>
      <c r="F151" s="5"/>
    </row>
    <row r="152" spans="1:6">
      <c r="A152" s="3"/>
      <c r="B152" s="81"/>
      <c r="C152" s="4"/>
      <c r="D152" s="5"/>
      <c r="E152" s="6"/>
      <c r="F152" s="5"/>
    </row>
    <row r="153" spans="1:6">
      <c r="A153" s="3"/>
      <c r="B153" s="81"/>
      <c r="C153" s="4"/>
      <c r="D153" s="5"/>
      <c r="E153" s="6"/>
      <c r="F153" s="5"/>
    </row>
    <row r="154" spans="1:6">
      <c r="A154" s="3"/>
      <c r="B154" s="81"/>
      <c r="C154" s="4"/>
      <c r="D154" s="5"/>
      <c r="E154" s="6"/>
      <c r="F154" s="5"/>
    </row>
    <row r="155" spans="1:6">
      <c r="A155" s="3"/>
      <c r="B155" s="81"/>
      <c r="C155" s="4"/>
      <c r="D155" s="5"/>
      <c r="E155" s="6"/>
      <c r="F155" s="5"/>
    </row>
    <row r="156" spans="1:6">
      <c r="A156" s="3"/>
      <c r="B156" s="81"/>
      <c r="C156" s="4"/>
      <c r="D156" s="5"/>
      <c r="E156" s="6"/>
      <c r="F156" s="5"/>
    </row>
    <row r="157" spans="1:6">
      <c r="A157" s="3"/>
      <c r="B157" s="81"/>
      <c r="C157" s="4"/>
      <c r="D157" s="5"/>
      <c r="E157" s="6"/>
      <c r="F157" s="5"/>
    </row>
    <row r="158" spans="1:6">
      <c r="A158" s="3"/>
      <c r="B158" s="81"/>
      <c r="C158" s="4"/>
      <c r="D158" s="5"/>
      <c r="E158" s="6"/>
      <c r="F158" s="5"/>
    </row>
    <row r="159" spans="1:6">
      <c r="A159" s="3"/>
      <c r="B159" s="81"/>
      <c r="C159" s="4"/>
      <c r="D159" s="5"/>
      <c r="E159" s="6"/>
      <c r="F159" s="5"/>
    </row>
    <row r="160" spans="1:6">
      <c r="A160" s="3"/>
      <c r="B160" s="81"/>
      <c r="C160" s="4"/>
      <c r="D160" s="5"/>
      <c r="E160" s="6"/>
      <c r="F160" s="5"/>
    </row>
    <row r="161" spans="1:6">
      <c r="A161" s="3"/>
      <c r="B161" s="81"/>
      <c r="C161" s="4"/>
      <c r="D161" s="5"/>
      <c r="E161" s="6"/>
      <c r="F161" s="5"/>
    </row>
    <row r="162" spans="1:6">
      <c r="A162" s="3"/>
      <c r="B162" s="81"/>
      <c r="C162" s="4"/>
      <c r="D162" s="5"/>
      <c r="E162" s="6"/>
      <c r="F162" s="5"/>
    </row>
    <row r="163" spans="1:6">
      <c r="A163" s="3"/>
      <c r="B163" s="81"/>
      <c r="C163" s="4"/>
      <c r="D163" s="5"/>
      <c r="E163" s="6"/>
      <c r="F163" s="5"/>
    </row>
    <row r="164" spans="1:6">
      <c r="A164" s="3"/>
      <c r="B164" s="81"/>
      <c r="C164" s="4"/>
      <c r="D164" s="5"/>
      <c r="E164" s="6"/>
      <c r="F164" s="5"/>
    </row>
    <row r="165" spans="1:6">
      <c r="A165" s="3"/>
      <c r="B165" s="81"/>
      <c r="C165" s="4"/>
      <c r="D165" s="5"/>
      <c r="E165" s="6"/>
      <c r="F165" s="5"/>
    </row>
    <row r="166" spans="1:6">
      <c r="A166" s="3"/>
      <c r="B166" s="81"/>
      <c r="C166" s="4"/>
      <c r="D166" s="5"/>
      <c r="E166" s="6"/>
      <c r="F166" s="5"/>
    </row>
    <row r="167" spans="1:6">
      <c r="A167" s="3"/>
      <c r="B167" s="81"/>
      <c r="C167" s="4"/>
      <c r="D167" s="5"/>
      <c r="E167" s="6"/>
      <c r="F167" s="5"/>
    </row>
    <row r="168" spans="1:6">
      <c r="A168" s="3"/>
      <c r="B168" s="81"/>
      <c r="C168" s="4"/>
      <c r="D168" s="5"/>
      <c r="E168" s="6"/>
      <c r="F168" s="5"/>
    </row>
    <row r="169" spans="1:6">
      <c r="A169" s="3"/>
      <c r="B169" s="81"/>
      <c r="C169" s="4"/>
      <c r="D169" s="5"/>
      <c r="E169" s="6"/>
      <c r="F169" s="5"/>
    </row>
    <row r="170" spans="1:6">
      <c r="A170" s="3"/>
      <c r="B170" s="81"/>
      <c r="C170" s="4"/>
      <c r="D170" s="5"/>
      <c r="E170" s="6"/>
      <c r="F170" s="5"/>
    </row>
    <row r="171" spans="1:6">
      <c r="A171" s="3"/>
      <c r="B171" s="81"/>
      <c r="C171" s="4"/>
      <c r="D171" s="5"/>
      <c r="E171" s="6"/>
      <c r="F171" s="5"/>
    </row>
    <row r="172" spans="1:6">
      <c r="A172" s="3"/>
      <c r="B172" s="81"/>
      <c r="C172" s="4"/>
      <c r="D172" s="5"/>
      <c r="E172" s="6"/>
      <c r="F172" s="5"/>
    </row>
    <row r="173" spans="1:6">
      <c r="A173" s="3"/>
      <c r="B173" s="81"/>
      <c r="C173" s="4"/>
      <c r="D173" s="5"/>
      <c r="E173" s="6"/>
      <c r="F173" s="5"/>
    </row>
    <row r="174" spans="1:6">
      <c r="A174" s="3"/>
      <c r="B174" s="81"/>
      <c r="C174" s="4"/>
      <c r="D174" s="5"/>
      <c r="E174" s="6"/>
      <c r="F174" s="5"/>
    </row>
    <row r="175" spans="1:6">
      <c r="A175" s="3"/>
      <c r="B175" s="81"/>
      <c r="C175" s="4"/>
      <c r="D175" s="5"/>
      <c r="E175" s="6"/>
      <c r="F175" s="5"/>
    </row>
    <row r="176" spans="1:6">
      <c r="A176" s="3"/>
      <c r="B176" s="81"/>
      <c r="C176" s="4"/>
      <c r="D176" s="5"/>
      <c r="E176" s="6"/>
      <c r="F176" s="5"/>
    </row>
    <row r="177" spans="1:6">
      <c r="A177" s="3"/>
      <c r="B177" s="81"/>
      <c r="C177" s="4"/>
      <c r="D177" s="5"/>
      <c r="E177" s="6"/>
      <c r="F177" s="5"/>
    </row>
    <row r="178" spans="1:6">
      <c r="A178" s="3"/>
      <c r="B178" s="81"/>
      <c r="C178" s="4"/>
      <c r="D178" s="5"/>
      <c r="E178" s="6"/>
      <c r="F178" s="5"/>
    </row>
    <row r="179" spans="1:6">
      <c r="A179" s="3"/>
      <c r="B179" s="81"/>
      <c r="C179" s="4"/>
      <c r="D179" s="5"/>
      <c r="E179" s="6"/>
      <c r="F179" s="5"/>
    </row>
    <row r="180" spans="1:6">
      <c r="A180" s="3"/>
      <c r="B180" s="81"/>
      <c r="C180" s="4"/>
      <c r="D180" s="5"/>
      <c r="E180" s="6"/>
      <c r="F180" s="5"/>
    </row>
    <row r="181" spans="1:6">
      <c r="A181" s="3"/>
      <c r="B181" s="81"/>
      <c r="C181" s="4"/>
      <c r="D181" s="5"/>
      <c r="E181" s="6"/>
      <c r="F181" s="5"/>
    </row>
    <row r="182" spans="1:6">
      <c r="A182" s="3"/>
      <c r="B182" s="81"/>
      <c r="C182" s="4"/>
      <c r="D182" s="5"/>
      <c r="E182" s="6"/>
      <c r="F182" s="5"/>
    </row>
    <row r="183" spans="1:6">
      <c r="A183" s="3"/>
      <c r="B183" s="81"/>
      <c r="C183" s="4"/>
      <c r="D183" s="5"/>
      <c r="E183" s="6"/>
      <c r="F183" s="5"/>
    </row>
    <row r="184" spans="1:6">
      <c r="A184" s="3"/>
      <c r="B184" s="81"/>
      <c r="C184" s="4"/>
      <c r="D184" s="5"/>
      <c r="E184" s="6"/>
      <c r="F184" s="5"/>
    </row>
    <row r="185" spans="1:6">
      <c r="A185" s="3"/>
      <c r="B185" s="81"/>
      <c r="C185" s="4"/>
      <c r="D185" s="5"/>
      <c r="E185" s="6"/>
      <c r="F185" s="5"/>
    </row>
    <row r="186" spans="1:6">
      <c r="A186" s="3"/>
      <c r="B186" s="81"/>
      <c r="C186" s="4"/>
      <c r="D186" s="5"/>
      <c r="E186" s="6"/>
      <c r="F186" s="5"/>
    </row>
    <row r="187" spans="1:6">
      <c r="A187" s="3"/>
      <c r="B187" s="81"/>
      <c r="C187" s="4"/>
      <c r="D187" s="5"/>
      <c r="E187" s="6"/>
      <c r="F187" s="5"/>
    </row>
    <row r="188" spans="1:6">
      <c r="A188" s="3"/>
      <c r="B188" s="81"/>
      <c r="C188" s="4"/>
      <c r="D188" s="5"/>
      <c r="E188" s="6"/>
      <c r="F188" s="5"/>
    </row>
    <row r="189" spans="1:6">
      <c r="A189" s="3"/>
      <c r="B189" s="81"/>
      <c r="C189" s="4"/>
      <c r="D189" s="5"/>
      <c r="E189" s="6"/>
      <c r="F189" s="5"/>
    </row>
    <row r="190" spans="1:6">
      <c r="A190" s="3"/>
      <c r="B190" s="81"/>
      <c r="C190" s="4"/>
      <c r="D190" s="5"/>
      <c r="E190" s="6"/>
      <c r="F190" s="5"/>
    </row>
    <row r="191" spans="1:6">
      <c r="A191" s="3"/>
      <c r="B191" s="81"/>
      <c r="C191" s="4"/>
      <c r="D191" s="5"/>
      <c r="E191" s="6"/>
      <c r="F191" s="5"/>
    </row>
    <row r="192" spans="1:6">
      <c r="A192" s="3"/>
      <c r="B192" s="81"/>
      <c r="C192" s="4"/>
      <c r="D192" s="5"/>
      <c r="E192" s="6"/>
      <c r="F192" s="5"/>
    </row>
    <row r="193" spans="1:6">
      <c r="A193" s="3"/>
      <c r="B193" s="81"/>
      <c r="C193" s="4"/>
      <c r="D193" s="5"/>
      <c r="E193" s="6"/>
      <c r="F193" s="5"/>
    </row>
    <row r="194" spans="1:6">
      <c r="A194" s="3"/>
      <c r="B194" s="81"/>
      <c r="C194" s="4"/>
      <c r="D194" s="5"/>
      <c r="E194" s="6"/>
      <c r="F194" s="5"/>
    </row>
    <row r="195" spans="1:6">
      <c r="A195" s="3"/>
      <c r="B195" s="81"/>
      <c r="C195" s="4"/>
      <c r="D195" s="5"/>
      <c r="E195" s="6"/>
      <c r="F195" s="5"/>
    </row>
    <row r="196" spans="1:6">
      <c r="A196" s="3"/>
      <c r="B196" s="81"/>
      <c r="C196" s="4"/>
      <c r="D196" s="5"/>
      <c r="E196" s="6"/>
      <c r="F196" s="5"/>
    </row>
    <row r="197" spans="1:6">
      <c r="A197" s="3"/>
      <c r="B197" s="81"/>
      <c r="C197" s="4"/>
      <c r="D197" s="5"/>
      <c r="E197" s="6"/>
      <c r="F197" s="5"/>
    </row>
    <row r="198" spans="1:6">
      <c r="A198" s="3"/>
      <c r="B198" s="81"/>
      <c r="C198" s="4"/>
      <c r="D198" s="5"/>
      <c r="E198" s="6"/>
      <c r="F198" s="5"/>
    </row>
    <row r="199" spans="1:6">
      <c r="A199" s="3"/>
      <c r="B199" s="81"/>
      <c r="C199" s="4"/>
      <c r="D199" s="5"/>
      <c r="E199" s="6"/>
      <c r="F199" s="5"/>
    </row>
    <row r="200" spans="1:6">
      <c r="A200" s="3"/>
      <c r="B200" s="81"/>
      <c r="C200" s="4"/>
      <c r="D200" s="5"/>
      <c r="E200" s="6"/>
      <c r="F200" s="5"/>
    </row>
    <row r="201" spans="1:6">
      <c r="A201" s="3"/>
      <c r="B201" s="81"/>
      <c r="C201" s="4"/>
      <c r="D201" s="5"/>
      <c r="E201" s="6"/>
      <c r="F201" s="5"/>
    </row>
    <row r="202" spans="1:6">
      <c r="A202" s="3"/>
      <c r="B202" s="81"/>
      <c r="C202" s="4"/>
      <c r="D202" s="5"/>
      <c r="E202" s="6"/>
      <c r="F202" s="5"/>
    </row>
    <row r="203" spans="1:6">
      <c r="A203" s="3"/>
      <c r="B203" s="81"/>
      <c r="C203" s="4"/>
      <c r="D203" s="5"/>
      <c r="E203" s="6"/>
      <c r="F203" s="5"/>
    </row>
    <row r="204" spans="1:6">
      <c r="A204" s="3"/>
      <c r="B204" s="81"/>
      <c r="C204" s="4"/>
      <c r="D204" s="5"/>
      <c r="E204" s="6"/>
      <c r="F204" s="5"/>
    </row>
    <row r="205" spans="1:6">
      <c r="A205" s="3"/>
      <c r="B205" s="81"/>
      <c r="C205" s="4"/>
      <c r="D205" s="5"/>
      <c r="E205" s="6"/>
      <c r="F205" s="5"/>
    </row>
    <row r="206" spans="1:6">
      <c r="A206" s="3"/>
      <c r="B206" s="81"/>
      <c r="C206" s="4"/>
      <c r="D206" s="5"/>
      <c r="E206" s="6"/>
      <c r="F206" s="5"/>
    </row>
    <row r="207" spans="1:6">
      <c r="A207" s="3"/>
      <c r="B207" s="81"/>
      <c r="C207" s="4"/>
      <c r="D207" s="5"/>
      <c r="E207" s="6"/>
      <c r="F207" s="5"/>
    </row>
    <row r="208" spans="1:6">
      <c r="A208" s="3"/>
      <c r="B208" s="81"/>
      <c r="C208" s="4"/>
      <c r="D208" s="5"/>
      <c r="E208" s="6"/>
      <c r="F208" s="5"/>
    </row>
    <row r="209" spans="1:6">
      <c r="A209" s="3"/>
      <c r="B209" s="81"/>
      <c r="C209" s="4"/>
      <c r="D209" s="5"/>
      <c r="E209" s="6"/>
      <c r="F209" s="5"/>
    </row>
    <row r="210" spans="1:6">
      <c r="A210" s="3"/>
      <c r="B210" s="81"/>
      <c r="C210" s="4"/>
      <c r="D210" s="5"/>
      <c r="E210" s="6"/>
      <c r="F210" s="5"/>
    </row>
    <row r="211" spans="1:6">
      <c r="A211" s="3"/>
      <c r="B211" s="81"/>
      <c r="C211" s="4"/>
      <c r="D211" s="5"/>
      <c r="E211" s="6"/>
      <c r="F211" s="5"/>
    </row>
    <row r="212" spans="1:6">
      <c r="A212" s="3"/>
      <c r="B212" s="81"/>
      <c r="C212" s="4"/>
      <c r="D212" s="5"/>
      <c r="E212" s="6"/>
      <c r="F212" s="5"/>
    </row>
    <row r="213" spans="1:6">
      <c r="A213" s="3"/>
      <c r="B213" s="81"/>
      <c r="C213" s="4"/>
      <c r="D213" s="5"/>
      <c r="E213" s="6"/>
      <c r="F213" s="5"/>
    </row>
    <row r="214" spans="1:6">
      <c r="A214" s="3"/>
      <c r="B214" s="81"/>
      <c r="C214" s="4"/>
      <c r="D214" s="5"/>
      <c r="E214" s="6"/>
      <c r="F214" s="5"/>
    </row>
    <row r="215" spans="1:6">
      <c r="A215" s="3"/>
      <c r="B215" s="81"/>
      <c r="C215" s="4"/>
      <c r="D215" s="5"/>
      <c r="E215" s="6"/>
      <c r="F215" s="5"/>
    </row>
    <row r="216" spans="1:6">
      <c r="A216" s="3"/>
      <c r="B216" s="81"/>
      <c r="C216" s="4"/>
      <c r="D216" s="5"/>
      <c r="E216" s="6"/>
      <c r="F216" s="5"/>
    </row>
    <row r="217" spans="1:6">
      <c r="A217" s="3"/>
      <c r="B217" s="81"/>
      <c r="C217" s="4"/>
      <c r="D217" s="5"/>
      <c r="E217" s="6"/>
      <c r="F217" s="5"/>
    </row>
    <row r="218" spans="1:6">
      <c r="A218" s="3"/>
      <c r="B218" s="81"/>
      <c r="C218" s="4"/>
      <c r="D218" s="5"/>
      <c r="E218" s="6"/>
      <c r="F218" s="5"/>
    </row>
    <row r="219" spans="1:6">
      <c r="A219" s="3"/>
      <c r="B219" s="81"/>
      <c r="C219" s="4"/>
      <c r="D219" s="5"/>
      <c r="E219" s="6"/>
      <c r="F219" s="5"/>
    </row>
    <row r="220" spans="1:6">
      <c r="A220" s="3"/>
      <c r="B220" s="81"/>
      <c r="C220" s="4"/>
      <c r="D220" s="5"/>
      <c r="E220" s="6"/>
      <c r="F220" s="5"/>
    </row>
    <row r="221" spans="1:6">
      <c r="A221" s="3"/>
      <c r="B221" s="81"/>
      <c r="C221" s="4"/>
      <c r="D221" s="5"/>
      <c r="E221" s="6"/>
      <c r="F221" s="5"/>
    </row>
    <row r="222" spans="1:6">
      <c r="A222" s="3"/>
      <c r="B222" s="81"/>
      <c r="C222" s="4"/>
      <c r="D222" s="5"/>
      <c r="E222" s="6"/>
      <c r="F222" s="5"/>
    </row>
    <row r="223" spans="1:6">
      <c r="A223" s="3"/>
      <c r="B223" s="81"/>
      <c r="C223" s="4"/>
      <c r="D223" s="5"/>
      <c r="E223" s="6"/>
      <c r="F223" s="5"/>
    </row>
    <row r="224" spans="1:6">
      <c r="A224" s="3"/>
      <c r="B224" s="81"/>
      <c r="C224" s="4"/>
      <c r="D224" s="5"/>
      <c r="E224" s="6"/>
      <c r="F224" s="5"/>
    </row>
    <row r="225" spans="1:6">
      <c r="A225" s="3"/>
      <c r="B225" s="81"/>
      <c r="C225" s="4"/>
      <c r="D225" s="5"/>
      <c r="E225" s="6"/>
      <c r="F225" s="5"/>
    </row>
    <row r="226" spans="1:6">
      <c r="A226" s="3"/>
      <c r="B226" s="81"/>
      <c r="C226" s="4"/>
      <c r="D226" s="5"/>
      <c r="E226" s="6"/>
      <c r="F226" s="5"/>
    </row>
    <row r="227" spans="1:6">
      <c r="A227" s="3"/>
      <c r="B227" s="81"/>
      <c r="C227" s="4"/>
      <c r="D227" s="5"/>
      <c r="E227" s="6"/>
      <c r="F227" s="5"/>
    </row>
    <row r="228" spans="1:6">
      <c r="A228" s="3"/>
      <c r="B228" s="81"/>
      <c r="C228" s="4"/>
      <c r="D228" s="5"/>
      <c r="E228" s="6"/>
      <c r="F228" s="5"/>
    </row>
    <row r="229" spans="1:6">
      <c r="A229" s="3"/>
      <c r="B229" s="81"/>
      <c r="C229" s="4"/>
      <c r="D229" s="5"/>
      <c r="E229" s="6"/>
      <c r="F229" s="5"/>
    </row>
    <row r="230" spans="1:6">
      <c r="A230" s="3"/>
      <c r="B230" s="81"/>
      <c r="C230" s="4"/>
      <c r="D230" s="5"/>
      <c r="E230" s="6"/>
      <c r="F230" s="5"/>
    </row>
    <row r="231" spans="1:6">
      <c r="A231" s="3"/>
      <c r="B231" s="81"/>
      <c r="C231" s="4"/>
      <c r="D231" s="5"/>
      <c r="E231" s="6"/>
      <c r="F231" s="5"/>
    </row>
    <row r="232" spans="1:6">
      <c r="A232" s="3"/>
      <c r="B232" s="81"/>
      <c r="C232" s="4"/>
      <c r="D232" s="5"/>
      <c r="E232" s="6"/>
      <c r="F232" s="5"/>
    </row>
    <row r="233" spans="1:6">
      <c r="A233" s="3"/>
      <c r="B233" s="81"/>
      <c r="C233" s="4"/>
      <c r="D233" s="5"/>
      <c r="E233" s="6"/>
      <c r="F233" s="5"/>
    </row>
    <row r="234" spans="1:6">
      <c r="A234" s="3"/>
      <c r="B234" s="81"/>
      <c r="C234" s="4"/>
      <c r="D234" s="5"/>
      <c r="E234" s="6"/>
      <c r="F234" s="5"/>
    </row>
    <row r="235" spans="1:6">
      <c r="A235" s="3"/>
      <c r="B235" s="81"/>
      <c r="C235" s="4"/>
      <c r="D235" s="5"/>
      <c r="E235" s="6"/>
      <c r="F235" s="5"/>
    </row>
    <row r="236" spans="1:6">
      <c r="A236" s="3"/>
      <c r="B236" s="81"/>
      <c r="C236" s="4"/>
      <c r="D236" s="5"/>
      <c r="E236" s="6"/>
      <c r="F236" s="5"/>
    </row>
    <row r="237" spans="1:6">
      <c r="A237" s="3"/>
      <c r="B237" s="81"/>
      <c r="C237" s="4"/>
      <c r="D237" s="5"/>
      <c r="E237" s="6"/>
      <c r="F237" s="5"/>
    </row>
    <row r="238" spans="1:6">
      <c r="A238" s="3"/>
      <c r="B238" s="81"/>
      <c r="C238" s="4"/>
      <c r="D238" s="5"/>
      <c r="E238" s="6"/>
      <c r="F238" s="5"/>
    </row>
    <row r="239" spans="1:6">
      <c r="A239" s="3"/>
      <c r="B239" s="81"/>
      <c r="C239" s="4"/>
      <c r="D239" s="5"/>
      <c r="E239" s="6"/>
      <c r="F239" s="5"/>
    </row>
    <row r="240" spans="1:6">
      <c r="A240" s="3"/>
      <c r="B240" s="81"/>
      <c r="C240" s="4"/>
      <c r="D240" s="5"/>
      <c r="E240" s="6"/>
      <c r="F240" s="5"/>
    </row>
    <row r="241" spans="1:6">
      <c r="A241" s="3"/>
      <c r="B241" s="81"/>
      <c r="C241" s="4"/>
      <c r="D241" s="5"/>
      <c r="E241" s="6"/>
      <c r="F241" s="5"/>
    </row>
    <row r="242" spans="1:6">
      <c r="A242" s="3"/>
      <c r="B242" s="81"/>
      <c r="C242" s="4"/>
      <c r="D242" s="5"/>
      <c r="E242" s="6"/>
      <c r="F242" s="5"/>
    </row>
    <row r="243" spans="1:6">
      <c r="A243" s="3"/>
      <c r="B243" s="81"/>
      <c r="C243" s="4"/>
      <c r="D243" s="5"/>
      <c r="E243" s="6"/>
      <c r="F243" s="5"/>
    </row>
    <row r="244" spans="1:6">
      <c r="A244" s="3"/>
      <c r="B244" s="81"/>
      <c r="C244" s="4"/>
      <c r="D244" s="5"/>
      <c r="E244" s="6"/>
      <c r="F244" s="5"/>
    </row>
    <row r="245" spans="1:6">
      <c r="A245" s="3"/>
      <c r="B245" s="81"/>
      <c r="C245" s="4"/>
      <c r="D245" s="5"/>
      <c r="E245" s="6"/>
      <c r="F245" s="5"/>
    </row>
    <row r="246" spans="1:6">
      <c r="A246" s="3"/>
      <c r="B246" s="81"/>
      <c r="C246" s="4"/>
      <c r="D246" s="5"/>
      <c r="E246" s="6"/>
      <c r="F246" s="5"/>
    </row>
    <row r="247" spans="1:6">
      <c r="A247" s="3"/>
      <c r="B247" s="81"/>
      <c r="C247" s="4"/>
      <c r="D247" s="5"/>
      <c r="E247" s="6"/>
      <c r="F247" s="5"/>
    </row>
    <row r="248" spans="1:6">
      <c r="A248" s="3"/>
      <c r="B248" s="81"/>
      <c r="C248" s="4"/>
      <c r="D248" s="5"/>
      <c r="E248" s="6"/>
      <c r="F248" s="5"/>
    </row>
  </sheetData>
  <mergeCells count="6">
    <mergeCell ref="W1:Z1"/>
    <mergeCell ref="G1:J1"/>
    <mergeCell ref="K1:N1"/>
    <mergeCell ref="C1:F1"/>
    <mergeCell ref="O1:R1"/>
    <mergeCell ref="S1:V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g D A A B Q S w M E F A A C A A g A W 7 y H W 9 R P Y i u m A A A A 9 w A A A B I A H A B D b 2 5 m a W c v U G F j a 2 F n Z S 5 4 b W w g o h g A K K A U A A A A A A A A A A A A A A A A A A A A A A A A A A A A h Y 9 L D o I w G I S v Q r q n L 0 1 U 8 l M W 6 k 4 S E x P j t i k V G q E Y K J a 7 u f B I X k G M o u 5 c z s w 3 y c z 9 e o O k r 8 r g o p v W 1 D Z G D F M U a K v q z N g 8 R p 0 7 h n O U C N h K d Z K 5 D g b Y t l H f m h g V z p 0 j Q r z 3 2 E 9 w 3 e S E U 8 r I I d 3 s V K E r G R r b O m m V R p 9 W 9 r + F B O x f Y w T H b D r D j P I F p k B G F 1 J j v w Q f B j / T H x O W X e m 6 R o t M h 6 s 1 k F E C e Z 8 Q D 1 B L A w Q U A A I A C A B b v I d 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7 y H W 6 f L E 2 D Q A A A A S g E A A B M A H A B G b 3 J t d W x h c y 9 T Z W N 0 a W 9 u M S 5 t I K I Y A C i g F A A A A A A A A A A A A A A A A A A A A A A A A A A A A H W P T W o C Q R C F 9 w N z h 6 K z U R g E 1 + J C B s k u I A 4 I E R f d W u J g d 7 V U V 6 M y z G 1 y k 1 w s F Q Y R I q l N w f v e q 5 + E e 2 k j w X r o 0 1 l Z l E U 6 W c Y D N N a h 9 z i F O X i U s g C t V f 6 V V F n e 9 u g n d W Z G k k 3 k s 4 v x P B p 3 2 w 8 b c G 4 e W b P r t 3 U k U d O u G k a 8 m X f 8 / q I D s i B D c 7 8 Y H a d + j 5 O G L a V j 5 F B H n w M p w z Q a V l Z d p 7 m A r Q Z N B a I I B G / S V / A E x C / o M 9 K r f 3 2 x X v S 4 v / r C H X 1 O y W F 7 1 e s e m H J w y H 0 / L o u W / v t h 9 g N Q S w E C L Q A U A A I A C A B b v I d b 1 E 9 i K 6 Y A A A D 3 A A A A E g A A A A A A A A A A A A A A A A A A A A A A Q 2 9 u Z m l n L 1 B h Y 2 t h Z 2 U u e G 1 s U E s B A i 0 A F A A C A A g A W 7 y H W w / K 6 a u k A A A A 6 Q A A A B M A A A A A A A A A A A A A A A A A 8 g A A A F t D b 2 5 0 Z W 5 0 X 1 R 5 c G V z X S 5 4 b W x Q S w E C L Q A U A A I A C A B b v I d b p 8 s T Y N A A A A B K A Q A A E w A A A A A A A A A A A A A A A A D j A Q A A R m 9 y b X V s Y X M v U 2 V j d G l v b j E u b V B L B Q Y A A A A A A w A D A M I A A A A A 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6 C g A A A A A A A J g K 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l b G 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I w N D B i O W R h L T U 1 N D c t N D k 0 N C 1 h M T I w L T N h Y 2 Q 2 M T g 1 Z m E 1 N 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A 0 O D U 3 N S I g L z 4 8 R W 5 0 c n k g V H l w Z T 0 i R m l s b E V y c m 9 y Q 2 9 k Z S I g V m F s d W U 9 I n N V b m t u b 3 d u I i A v P j x F b n R y e S B U e X B l P S J G a W x s R X J y b 3 J D b 3 V u d C I g V m F s d W U 9 I m w w I i A v P j x F b n R y e S B U e X B l P S J G a W x s T G F z d F V w Z G F 0 Z W Q i I F Z h b H V l P S J k M j A y N S 0 x M i 0 w N 1 Q y M j o z N D o z N C 4 w N z I 2 N T M 0 W i I g L z 4 8 R W 5 0 c n k g V H l w Z T 0 i R m l s b E N v b H V t b l R 5 c G V z I i B W Y W x 1 Z T 0 i c 0 J n W U d C Z 1 U 9 I i A v P j x F b n R y e S B U e X B l P S J G a W x s Q 2 9 s d W 1 u T m F t Z X M i I F Z h b H V l P S J z W y Z x d W 9 0 O 0 d l b W V p b m R l J n F 1 b 3 Q 7 L C Z x d W 9 0 O 0 d l b W V p b m R l b n I m c X V v d D s s J n F 1 b 3 Q 7 W m 9 u Z S Z x d W 9 0 O y w m c X V v d D t T c G F s d G U x J n F 1 b 3 Q 7 L C Z x d W 9 0 O 0 F i Z m x 1 c 3 N i Z W l 3 Z X J 0 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V G F i Z W x s Z T E v Q X V 0 b 1 J l b W 9 2 Z W R D b 2 x 1 b W 5 z M S 5 7 R 2 V t Z W l u Z G U s M H 0 m c X V v d D s s J n F 1 b 3 Q 7 U 2 V j d G l v b j E v V G F i Z W x s Z T E v Q X V 0 b 1 J l b W 9 2 Z W R D b 2 x 1 b W 5 z M S 5 7 R 2 V t Z W l u Z G V u c i w x f S Z x d W 9 0 O y w m c X V v d D t T Z W N 0 a W 9 u M S 9 U Y W J l b G x l M S 9 B d X R v U m V t b 3 Z l Z E N v b H V t b n M x L n t a b 2 5 l L D J 9 J n F 1 b 3 Q 7 L C Z x d W 9 0 O 1 N l Y 3 R p b 2 4 x L 1 R h Y m V s b G U x L 0 F 1 d G 9 S Z W 1 v d m V k Q 2 9 s d W 1 u c z E u e 1 N w Y W x 0 Z T E s M 3 0 m c X V v d D s s J n F 1 b 3 Q 7 U 2 V j d G l v b j E v V G F i Z W x s Z T E v Q X V 0 b 1 J l b W 9 2 Z W R D b 2 x 1 b W 5 z M S 5 7 Q W J m b H V z c 2 J l a X d l c n Q s N H 0 m c X V v d D t d L C Z x d W 9 0 O 0 N v b H V t b k N v d W 5 0 J n F 1 b 3 Q 7 O j U s J n F 1 b 3 Q 7 S 2 V 5 Q 2 9 s d W 1 u T m F t Z X M m c X V v d D s 6 W 1 0 s J n F 1 b 3 Q 7 Q 2 9 s d W 1 u S W R l b n R p d G l l c y Z x d W 9 0 O z p b J n F 1 b 3 Q 7 U 2 V j d G l v b j E v V G F i Z W x s Z T E v Q X V 0 b 1 J l b W 9 2 Z W R D b 2 x 1 b W 5 z M S 5 7 R 2 V t Z W l u Z G U s M H 0 m c X V v d D s s J n F 1 b 3 Q 7 U 2 V j d G l v b j E v V G F i Z W x s Z T E v Q X V 0 b 1 J l b W 9 2 Z W R D b 2 x 1 b W 5 z M S 5 7 R 2 V t Z W l u Z G V u c i w x f S Z x d W 9 0 O y w m c X V v d D t T Z W N 0 a W 9 u M S 9 U Y W J l b G x l M S 9 B d X R v U m V t b 3 Z l Z E N v b H V t b n M x L n t a b 2 5 l L D J 9 J n F 1 b 3 Q 7 L C Z x d W 9 0 O 1 N l Y 3 R p b 2 4 x L 1 R h Y m V s b G U x L 0 F 1 d G 9 S Z W 1 v d m V k Q 2 9 s d W 1 u c z E u e 1 N w Y W x 0 Z T E s M 3 0 m c X V v d D s s J n F 1 b 3 Q 7 U 2 V j d G l v b j E v V G F i Z W x s Z T E v Q X V 0 b 1 J l b W 9 2 Z W R D b 2 x 1 b W 5 z M S 5 7 Q W J m b H V z c 2 J l a X d l c n Q s N H 0 m c X V v d D t d L C Z x d W 9 0 O 1 J l b G F 0 a W 9 u c 2 h p c E l u Z m 8 m c X V v d D s 6 W 1 1 9 I i A v P j w v U 3 R h Y m x l R W 5 0 c m l l c z 4 8 L 0 l 0 Z W 0 + P E l 0 Z W 0 + P E l 0 Z W 1 M b 2 N h d G l v b j 4 8 S X R l b V R 5 c G U + R m 9 y b X V s Y T w v S X R l b V R 5 c G U + P E l 0 Z W 1 Q Y X R o P l N l Y 3 R p b 2 4 x L 1 R h Y m V s b G U x L 1 F 1 Z W x s Z T w v S X R l b V B h d G g + P C 9 J d G V t T G 9 j Y X R p b 2 4 + P F N 0 Y W J s Z U V u d H J p Z X M g L z 4 8 L 0 l 0 Z W 0 + P E l 0 Z W 0 + P E l 0 Z W 1 M b 2 N h d G l v b j 4 8 S X R l b V R 5 c G U + R m 9 y b X V s Y T w v S X R l b V R 5 c G U + P E l 0 Z W 1 Q Y X R o P l N l Y 3 R p b 2 4 x L 1 R h Y m V s b G U x L 0 d l J U M z J U E 0 b m R l c n R l c i U y M F R 5 c D w v S X R l b V B h d G g + P C 9 J d G V t T G 9 j Y X R p b 2 4 + P F N 0 Y W J s Z U V u d H J p Z X M g L z 4 8 L 0 l 0 Z W 0 + P C 9 J d G V t c z 4 8 L 0 x v Y 2 F s U G F j a 2 F n Z U 1 l d G F k Y X R h R m l s Z T 4 W A A A A U E s F B g A A A A A A A A A A A A A A A A A A A A A A A C Y B A A A B A A A A 0 I y d 3 w E V 0 R G M e g D A T 8 K X 6 w E A A A D 2 f 8 0 B m R N b S o r 0 q g M O 7 S Y A A A A A A A I A A A A A A B B m A A A A A Q A A I A A A A B Y z e g A i f r 8 I Y U 6 d K D m W C 5 G s J y r A k g b B N U W H E p c U / x q w A A A A A A 6 A A A A A A g A A I A A A A J v Q v 8 Z b T g 2 C 2 D Q f W B 8 b o a h O I T h S t A B S Q F M C c t j r O d F 4 U A A A A P B F C N D S 5 F v 2 w i P n 3 f M J l N L d P m k y R j U X 3 I O 4 T R P M z Z u 1 m A J H 5 I C / H J p Y d 6 Z m / 4 j d Y u 0 P Y d j e k l / Z d 1 V 8 a D K 9 X t q k b t q a f T O E T v s V v S E b c T K r Q A A A A G m R q 4 A J 5 E 1 S 4 w F j C P o P h H r f v 3 X Z v s w u e W 3 h c u x + J a m W Z r 1 0 Z / p + o T B k + L C L b Q R y a i k x U O z 1 p F V 7 O p l H h h 2 g Y T k = < / D a t a M a s h u p > 
</file>

<file path=customXml/itemProps1.xml><?xml version="1.0" encoding="utf-8"?>
<ds:datastoreItem xmlns:ds="http://schemas.openxmlformats.org/officeDocument/2006/customXml" ds:itemID="{9D0117BD-CEFF-4A09-96D6-0236112FB0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4</vt:i4>
      </vt:variant>
    </vt:vector>
  </HeadingPairs>
  <TitlesOfParts>
    <vt:vector size="14" baseType="lpstr">
      <vt:lpstr>Anwendung</vt:lpstr>
      <vt:lpstr>EinleitungInGewaesser</vt:lpstr>
      <vt:lpstr>Retentionsanlage</vt:lpstr>
      <vt:lpstr>Versickerungsanlage</vt:lpstr>
      <vt:lpstr>Abflussbeiwerte</vt:lpstr>
      <vt:lpstr>Berechnung_Einleitung</vt:lpstr>
      <vt:lpstr>Berechnung_Retention</vt:lpstr>
      <vt:lpstr>Berechnung_Versickerung</vt:lpstr>
      <vt:lpstr>Regen</vt:lpstr>
      <vt:lpstr>Auswahlliste</vt:lpstr>
      <vt:lpstr>Anwendung!Druckbereich</vt:lpstr>
      <vt:lpstr>EinleitungInGewaesser!Druckbereich</vt:lpstr>
      <vt:lpstr>Retentionsanlage!Druckbereich</vt:lpstr>
      <vt:lpstr>Versickerungsanlage!Druckbereich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Brandenberg Philippe -  Wälli AG Ingenieure</dc:creator>
  <cp:lastModifiedBy>Kaufmann-Lenherr Elisabeth GAMS</cp:lastModifiedBy>
  <cp:lastPrinted>2026-06-12T08:23:01Z</cp:lastPrinted>
  <dcterms:created xsi:type="dcterms:W3CDTF">2015-06-05T18:19:34Z</dcterms:created>
  <dcterms:modified xsi:type="dcterms:W3CDTF">2026-07-31T12:41:46Z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29d30b8-e020-4783-b454-ac0e88601419_Enabled">
    <vt:lpwstr>true</vt:lpwstr>
  </property>
  <property fmtid="{D5CDD505-2E9C-101B-9397-08002B2CF9AE}" pid="3" name="MSIP_Label_b29d30b8-e020-4783-b454-ac0e88601419_SetDate">
    <vt:lpwstr>2025-08-14T11:56:40Z</vt:lpwstr>
  </property>
  <property fmtid="{D5CDD505-2E9C-101B-9397-08002B2CF9AE}" pid="4" name="MSIP_Label_b29d30b8-e020-4783-b454-ac0e88601419_Method">
    <vt:lpwstr>Standard</vt:lpwstr>
  </property>
  <property fmtid="{D5CDD505-2E9C-101B-9397-08002B2CF9AE}" pid="5" name="MSIP_Label_b29d30b8-e020-4783-b454-ac0e88601419_Name">
    <vt:lpwstr>Intern</vt:lpwstr>
  </property>
  <property fmtid="{D5CDD505-2E9C-101B-9397-08002B2CF9AE}" pid="6" name="MSIP_Label_b29d30b8-e020-4783-b454-ac0e88601419_SiteId">
    <vt:lpwstr>9cada478-1b84-4f69-a38a-79dfbc4ee5c8</vt:lpwstr>
  </property>
  <property fmtid="{D5CDD505-2E9C-101B-9397-08002B2CF9AE}" pid="7" name="MSIP_Label_b29d30b8-e020-4783-b454-ac0e88601419_ActionId">
    <vt:lpwstr>59bf3678-8d30-446d-b0de-c833d68aa448</vt:lpwstr>
  </property>
  <property fmtid="{D5CDD505-2E9C-101B-9397-08002B2CF9AE}" pid="8" name="MSIP_Label_b29d30b8-e020-4783-b454-ac0e88601419_ContentBits">
    <vt:lpwstr>0</vt:lpwstr>
  </property>
  <property fmtid="{D5CDD505-2E9C-101B-9397-08002B2CF9AE}" pid="9" name="MSIP_Label_b29d30b8-e020-4783-b454-ac0e88601419_Tag">
    <vt:lpwstr>10, 3, 0, 1</vt:lpwstr>
  </property>
</Properties>
</file>